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ОСТ 2025\Май\Приложения\Пост 247.doc\"/>
    </mc:Choice>
  </mc:AlternateContent>
  <xr:revisionPtr revIDLastSave="0" documentId="8_{AD780A34-346F-43F5-AFC1-2E2803688783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Лист1" sheetId="1" state="hidden" r:id="rId1"/>
    <sheet name="Лист2" sheetId="2" state="hidden" r:id="rId2"/>
    <sheet name="АРЭГ (2)" sheetId="4" r:id="rId3"/>
  </sheets>
  <externalReferences>
    <externalReference r:id="rId4"/>
  </externalReferences>
  <definedNames>
    <definedName name="_xlnm.Print_Area" localSheetId="2">'АРЭГ (2)'!$A$1:$L$11</definedName>
  </definedNames>
  <calcPr calcId="191029"/>
</workbook>
</file>

<file path=xl/calcChain.xml><?xml version="1.0" encoding="utf-8"?>
<calcChain xmlns="http://schemas.openxmlformats.org/spreadsheetml/2006/main">
  <c r="AL53" i="1" l="1"/>
  <c r="AK53" i="1"/>
  <c r="AJ53" i="1"/>
  <c r="AI53" i="1"/>
  <c r="AH53" i="1"/>
  <c r="AG53" i="1"/>
  <c r="AF53" i="1"/>
  <c r="Y53" i="1"/>
  <c r="Q53" i="1"/>
  <c r="P53" i="1"/>
  <c r="O53" i="1"/>
  <c r="I53" i="1"/>
  <c r="H53" i="1"/>
  <c r="G53" i="1"/>
  <c r="E53" i="1"/>
  <c r="Q52" i="1"/>
  <c r="P52" i="1"/>
  <c r="O52" i="1"/>
  <c r="M52" i="1"/>
  <c r="L52" i="1"/>
  <c r="K52" i="1"/>
  <c r="J52" i="1"/>
  <c r="I52" i="1"/>
  <c r="H52" i="1"/>
  <c r="G52" i="1"/>
  <c r="F52" i="1"/>
  <c r="E52" i="1"/>
  <c r="AE51" i="1"/>
  <c r="AD51" i="1"/>
  <c r="AC51" i="1"/>
  <c r="AB51" i="1"/>
  <c r="W51" i="1"/>
  <c r="S51" i="1"/>
  <c r="AA50" i="1"/>
  <c r="AE49" i="1"/>
  <c r="AD49" i="1"/>
  <c r="AC49" i="1"/>
  <c r="AB49" i="1"/>
  <c r="W49" i="1"/>
  <c r="C49" i="1"/>
  <c r="S49" i="1" s="1"/>
  <c r="AA48" i="1"/>
  <c r="N48" i="1"/>
  <c r="AE47" i="1"/>
  <c r="AD47" i="1"/>
  <c r="AC47" i="1"/>
  <c r="AB47" i="1"/>
  <c r="W47" i="1"/>
  <c r="V47" i="1"/>
  <c r="R47" i="1"/>
  <c r="F47" i="1"/>
  <c r="F53" i="1" s="1"/>
  <c r="AA46" i="1"/>
  <c r="R46" i="1"/>
  <c r="N46" i="1"/>
  <c r="AE45" i="1"/>
  <c r="AD45" i="1"/>
  <c r="AC45" i="1"/>
  <c r="AB45" i="1"/>
  <c r="W45" i="1"/>
  <c r="V45" i="1"/>
  <c r="J45" i="1"/>
  <c r="S45" i="1" s="1"/>
  <c r="AA44" i="1"/>
  <c r="AE43" i="1"/>
  <c r="AD43" i="1"/>
  <c r="AC43" i="1"/>
  <c r="AB43" i="1"/>
  <c r="X43" i="1"/>
  <c r="W43" i="1"/>
  <c r="V43" i="1"/>
  <c r="S43" i="1"/>
  <c r="AA42" i="1"/>
  <c r="AE41" i="1"/>
  <c r="AD41" i="1"/>
  <c r="AC41" i="1"/>
  <c r="AB41" i="1"/>
  <c r="W41" i="1"/>
  <c r="V41" i="1"/>
  <c r="N41" i="1"/>
  <c r="J41" i="1"/>
  <c r="AA40" i="1"/>
  <c r="N40" i="1"/>
  <c r="AE39" i="1"/>
  <c r="AD39" i="1"/>
  <c r="AC39" i="1"/>
  <c r="AB39" i="1"/>
  <c r="W39" i="1"/>
  <c r="V39" i="1"/>
  <c r="N39" i="1"/>
  <c r="AA38" i="1"/>
  <c r="N38" i="1"/>
  <c r="AE37" i="1"/>
  <c r="AD37" i="1"/>
  <c r="AC37" i="1"/>
  <c r="AB37" i="1"/>
  <c r="W37" i="1"/>
  <c r="S37" i="1"/>
  <c r="AA36" i="1"/>
  <c r="AE35" i="1"/>
  <c r="AD35" i="1"/>
  <c r="AC35" i="1"/>
  <c r="AB35" i="1"/>
  <c r="W35" i="1"/>
  <c r="V35" i="1"/>
  <c r="N35" i="1"/>
  <c r="S35" i="1" s="1"/>
  <c r="AA34" i="1"/>
  <c r="N34" i="1"/>
  <c r="AE33" i="1"/>
  <c r="AD33" i="1"/>
  <c r="AC33" i="1"/>
  <c r="AB33" i="1"/>
  <c r="V33" i="1"/>
  <c r="R33" i="1"/>
  <c r="N33" i="1"/>
  <c r="M33" i="1"/>
  <c r="M53" i="1" s="1"/>
  <c r="C33" i="1"/>
  <c r="AA32" i="1"/>
  <c r="R32" i="1"/>
  <c r="N32" i="1"/>
  <c r="D32" i="1"/>
  <c r="D52" i="1" s="1"/>
  <c r="C32" i="1"/>
  <c r="C52" i="1" s="1"/>
  <c r="AE31" i="1"/>
  <c r="AD31" i="1"/>
  <c r="AC31" i="1"/>
  <c r="AB31" i="1"/>
  <c r="S31" i="1"/>
  <c r="AA30" i="1"/>
  <c r="AE29" i="1"/>
  <c r="AD29" i="1"/>
  <c r="AC29" i="1"/>
  <c r="AB29" i="1"/>
  <c r="W29" i="1"/>
  <c r="V29" i="1"/>
  <c r="N29" i="1"/>
  <c r="K29" i="1"/>
  <c r="AA28" i="1"/>
  <c r="N28" i="1"/>
  <c r="AE27" i="1"/>
  <c r="AD27" i="1"/>
  <c r="AC27" i="1"/>
  <c r="AB27" i="1"/>
  <c r="W27" i="1"/>
  <c r="V27" i="1"/>
  <c r="K27" i="1"/>
  <c r="S27" i="1" s="1"/>
  <c r="AA26" i="1"/>
  <c r="R26" i="1"/>
  <c r="AE25" i="1"/>
  <c r="AD25" i="1"/>
  <c r="AC25" i="1"/>
  <c r="AB25" i="1"/>
  <c r="N25" i="1"/>
  <c r="C25" i="1"/>
  <c r="AA24" i="1"/>
  <c r="N24" i="1"/>
  <c r="AE23" i="1"/>
  <c r="AD23" i="1"/>
  <c r="AC23" i="1"/>
  <c r="AB23" i="1"/>
  <c r="W23" i="1"/>
  <c r="V23" i="1"/>
  <c r="R23" i="1"/>
  <c r="AA22" i="1"/>
  <c r="R22" i="1"/>
  <c r="AE21" i="1"/>
  <c r="AD21" i="1"/>
  <c r="AC21" i="1"/>
  <c r="AB21" i="1"/>
  <c r="W21" i="1"/>
  <c r="V21" i="1"/>
  <c r="R21" i="1"/>
  <c r="S21" i="1" s="1"/>
  <c r="AA20" i="1"/>
  <c r="AE19" i="1"/>
  <c r="AD19" i="1"/>
  <c r="AC19" i="1"/>
  <c r="AB19" i="1"/>
  <c r="W19" i="1"/>
  <c r="V19" i="1"/>
  <c r="S19" i="1"/>
  <c r="AA18" i="1"/>
  <c r="AE17" i="1"/>
  <c r="AD17" i="1"/>
  <c r="AC17" i="1"/>
  <c r="AB17" i="1"/>
  <c r="W17" i="1"/>
  <c r="V17" i="1"/>
  <c r="N17" i="1"/>
  <c r="S17" i="1" s="1"/>
  <c r="AA16" i="1"/>
  <c r="N16" i="1"/>
  <c r="AE15" i="1"/>
  <c r="AD15" i="1"/>
  <c r="AC15" i="1"/>
  <c r="AB15" i="1"/>
  <c r="W15" i="1"/>
  <c r="V15" i="1"/>
  <c r="S15" i="1"/>
  <c r="AA14" i="1"/>
  <c r="AE13" i="1"/>
  <c r="AD13" i="1"/>
  <c r="AC13" i="1"/>
  <c r="AB13" i="1"/>
  <c r="X13" i="1"/>
  <c r="W13" i="1"/>
  <c r="V13" i="1"/>
  <c r="S13" i="1"/>
  <c r="AA27" i="1" l="1"/>
  <c r="Z27" i="1" s="1"/>
  <c r="T27" i="1" s="1"/>
  <c r="AA43" i="1"/>
  <c r="Z43" i="1" s="1"/>
  <c r="AA45" i="1"/>
  <c r="Z45" i="1" s="1"/>
  <c r="T45" i="1" s="1"/>
  <c r="AA17" i="1"/>
  <c r="Z17" i="1" s="1"/>
  <c r="T17" i="1" s="1"/>
  <c r="AA23" i="1"/>
  <c r="Z23" i="1" s="1"/>
  <c r="T23" i="1" s="1"/>
  <c r="AA33" i="1"/>
  <c r="Z33" i="1" s="1"/>
  <c r="T33" i="1" s="1"/>
  <c r="AA35" i="1"/>
  <c r="Z35" i="1" s="1"/>
  <c r="T35" i="1" s="1"/>
  <c r="AA13" i="1"/>
  <c r="AA15" i="1"/>
  <c r="AA31" i="1"/>
  <c r="Z31" i="1" s="1"/>
  <c r="T31" i="1" s="1"/>
  <c r="AA51" i="1"/>
  <c r="Z51" i="1" s="1"/>
  <c r="T51" i="1" s="1"/>
  <c r="S25" i="1"/>
  <c r="U43" i="1"/>
  <c r="U53" i="1" s="1"/>
  <c r="AA25" i="1"/>
  <c r="Z25" i="1" s="1"/>
  <c r="T25" i="1" s="1"/>
  <c r="AA37" i="1"/>
  <c r="Z37" i="1" s="1"/>
  <c r="T37" i="1" s="1"/>
  <c r="Z13" i="1"/>
  <c r="T13" i="1" s="1"/>
  <c r="AA49" i="1"/>
  <c r="Z49" i="1" s="1"/>
  <c r="T49" i="1" s="1"/>
  <c r="V53" i="1"/>
  <c r="R53" i="1"/>
  <c r="W53" i="1"/>
  <c r="S33" i="1"/>
  <c r="AA39" i="1"/>
  <c r="Z39" i="1" s="1"/>
  <c r="T39" i="1" s="1"/>
  <c r="X53" i="1"/>
  <c r="AA19" i="1"/>
  <c r="Z19" i="1" s="1"/>
  <c r="T19" i="1" s="1"/>
  <c r="AA21" i="1"/>
  <c r="Z21" i="1" s="1"/>
  <c r="T21" i="1" s="1"/>
  <c r="R52" i="1"/>
  <c r="C53" i="1"/>
  <c r="S29" i="1"/>
  <c r="AA29" i="1"/>
  <c r="Z29" i="1" s="1"/>
  <c r="T29" i="1" s="1"/>
  <c r="S41" i="1"/>
  <c r="AA41" i="1"/>
  <c r="Z41" i="1" s="1"/>
  <c r="T41" i="1" s="1"/>
  <c r="J53" i="1"/>
  <c r="AA47" i="1"/>
  <c r="Z47" i="1" s="1"/>
  <c r="T47" i="1" s="1"/>
  <c r="AE53" i="1"/>
  <c r="N52" i="1"/>
  <c r="AB53" i="1"/>
  <c r="AC53" i="1"/>
  <c r="AM13" i="1"/>
  <c r="Z15" i="1"/>
  <c r="T15" i="1" s="1"/>
  <c r="N53" i="1"/>
  <c r="AD53" i="1"/>
  <c r="S23" i="1"/>
  <c r="S47" i="1"/>
  <c r="K53" i="1"/>
  <c r="S39" i="1"/>
  <c r="T43" i="1" l="1"/>
  <c r="T53" i="1" s="1"/>
  <c r="S53" i="1"/>
  <c r="AA53" i="1"/>
  <c r="Z53" i="1"/>
</calcChain>
</file>

<file path=xl/sharedStrings.xml><?xml version="1.0" encoding="utf-8"?>
<sst xmlns="http://schemas.openxmlformats.org/spreadsheetml/2006/main" count="136" uniqueCount="92">
  <si>
    <t xml:space="preserve">    УТВЕРЖДАЮ</t>
  </si>
  <si>
    <t>Форма №1</t>
  </si>
  <si>
    <t>Заместитель председателя Правительства
Сахалинской области</t>
  </si>
  <si>
    <t>к распоряжению Правительства Сахалинской области
от "04" мая 2016г. № 203-р</t>
  </si>
  <si>
    <t>А.М. Житков</t>
  </si>
  <si>
    <t xml:space="preserve">     (подпись)</t>
  </si>
  <si>
    <t>СВОДНЫЙ ПЛАН ПОДГОТОВКИ ОБЪЕКТОВ ЖИЗНЕОБЕСПЕЧЕНИЯ САХАЛИНСКОЙ
ОБЛАСТИ К РАБОТЕ В ОСЕННЕ-ЗИМНИЙ ПЕРИОД  2016/17 ГОДА.</t>
  </si>
  <si>
    <t>№ п/п</t>
  </si>
  <si>
    <t>Наименование МО района</t>
  </si>
  <si>
    <t xml:space="preserve">объемы ремонтов, в натуральных единицах/
сметная стоимость ремонта, млн.рублей </t>
  </si>
  <si>
    <t>Источники финансирования, млн. рублей</t>
  </si>
  <si>
    <t>Текущий и капитальный ремонт жилфонда
(кап.и тек.)</t>
  </si>
  <si>
    <t>Котельные</t>
  </si>
  <si>
    <t>Теплосети (2-х труб.исч)</t>
  </si>
  <si>
    <t>Центр. тепл. пункты</t>
  </si>
  <si>
    <t>Водозаборы</t>
  </si>
  <si>
    <t>Водонасосн. станции</t>
  </si>
  <si>
    <t>Водопров. сети</t>
  </si>
  <si>
    <t>Объекты канализац./кан.сети</t>
  </si>
  <si>
    <t>Дизельные электростанции, в т.ч. автономные</t>
  </si>
  <si>
    <t>Электрические сети, в т.ч. уличное освещение</t>
  </si>
  <si>
    <t>Трансформаторные подстанции (ТП)</t>
  </si>
  <si>
    <t>Газопроводы</t>
  </si>
  <si>
    <t>Улично-дорожная сеть</t>
  </si>
  <si>
    <t>Техника</t>
  </si>
  <si>
    <t>Сметная стоимость ремонтов всего, млн.руб.</t>
  </si>
  <si>
    <t>Всего</t>
  </si>
  <si>
    <t>в том числе:</t>
  </si>
  <si>
    <t>Собственные средства предприятий (тариф)</t>
  </si>
  <si>
    <t>в тарифе по данным РЭК</t>
  </si>
  <si>
    <t>Целевые средства местного бюджета</t>
  </si>
  <si>
    <t>Средства областного бюджета</t>
  </si>
  <si>
    <t>План меропроприятий  разделе жилищное хозяйство</t>
  </si>
  <si>
    <t>Развитие ЖКК (Капремонт жилфонда)</t>
  </si>
  <si>
    <t>Развитие ЖКК (коммунальное хозяйство)</t>
  </si>
  <si>
    <t>Обеспечение безаварийной работы ЖКХ на 2016 г.</t>
  </si>
  <si>
    <t>Приобретение спецтехники для нужд ЖКХ</t>
  </si>
  <si>
    <t>Субсидия на осущесвтление функций адм.центра СО</t>
  </si>
  <si>
    <t>Обеспечение безаварийной работы ЖКХ на 2016 г. (агентство)</t>
  </si>
  <si>
    <t>соглашение (агенство ТП-35/6)</t>
  </si>
  <si>
    <t>Развитие ЖКК (Капремонт жилфонда) поправки</t>
  </si>
  <si>
    <t>Дорожный фонд</t>
  </si>
  <si>
    <t>Резервный фонд (дизеля)</t>
  </si>
  <si>
    <t>Дополнительные средства (кредиты)</t>
  </si>
  <si>
    <t>ед.</t>
  </si>
  <si>
    <r>
      <t>тыс.м</t>
    </r>
    <r>
      <rPr>
        <vertAlign val="superscript"/>
        <sz val="11"/>
        <rFont val="Times New Roman"/>
        <family val="1"/>
        <charset val="204"/>
      </rPr>
      <t>2</t>
    </r>
  </si>
  <si>
    <t>п.м.</t>
  </si>
  <si>
    <t>п.м</t>
  </si>
  <si>
    <t>тыc.кв.м</t>
  </si>
  <si>
    <t>всего</t>
  </si>
  <si>
    <t>мтр</t>
  </si>
  <si>
    <t>сторонние</t>
  </si>
  <si>
    <t>МО городской округ "Город Южно-Сахалинск"</t>
  </si>
  <si>
    <t xml:space="preserve">МО "Корсаковский городской округ" </t>
  </si>
  <si>
    <t>МО "Холмский городской округ" +</t>
  </si>
  <si>
    <t>МО городской округ "Долинский"</t>
  </si>
  <si>
    <t>МО городской округ "Охинский"</t>
  </si>
  <si>
    <t>МО городской округ "Поронайский"</t>
  </si>
  <si>
    <t>МО "Анивский городской округ"</t>
  </si>
  <si>
    <t>МО "Невельский муниципальный район"</t>
  </si>
  <si>
    <t>МО "Тымовский городской округ"</t>
  </si>
  <si>
    <t>МО городской округ "Смирныховский"</t>
  </si>
  <si>
    <t>МО городской округ "Александровск-Сахалинский район"</t>
  </si>
  <si>
    <t>МО "Городской округ Ногликский"</t>
  </si>
  <si>
    <t>МО "Углегорское городское поселение"</t>
  </si>
  <si>
    <t>МО "Южно-Курильский городской округ"</t>
  </si>
  <si>
    <t>МО "Томаринский городской округ"</t>
  </si>
  <si>
    <t>МО "Макаровский городской округ"</t>
  </si>
  <si>
    <t>МО "Шахтёрское городское поселение Углегорского муниципального района"</t>
  </si>
  <si>
    <t>МО "Курильский городской округ"</t>
  </si>
  <si>
    <t>МО "Северо-Курильский городской округ"</t>
  </si>
  <si>
    <t>МО "Бошняковское городское поселение Углегорского муниципального района"</t>
  </si>
  <si>
    <t>*ВСЕГО</t>
  </si>
  <si>
    <t>**ИТОГО</t>
  </si>
  <si>
    <t>* -  объем планируемых работ (физ.ед)</t>
  </si>
  <si>
    <t xml:space="preserve">** - стоимость запланированных ремонтных работ, млн.руб </t>
  </si>
  <si>
    <t>Исполняющая обязанности министра ЖКХ Сахалинской области</t>
  </si>
  <si>
    <t>Н.И. Мошенцева</t>
  </si>
  <si>
    <t>Наименование МО</t>
  </si>
  <si>
    <t>Объемы ремонтов, в натуральных единицах/сметная стоимость ремонта, млн.руб</t>
  </si>
  <si>
    <t>Источники финансирования, млн. руб.</t>
  </si>
  <si>
    <t>Генерация (электростанции)</t>
  </si>
  <si>
    <t>Электрические сети</t>
  </si>
  <si>
    <t>Трансформаторные подстанции</t>
  </si>
  <si>
    <t>Собственные средства предприятия (тариф)</t>
  </si>
  <si>
    <t>0,4-10 кВ</t>
  </si>
  <si>
    <t>35 кВ</t>
  </si>
  <si>
    <t>6-10 кВ</t>
  </si>
  <si>
    <t>шт.</t>
  </si>
  <si>
    <t>км.</t>
  </si>
  <si>
    <t>Сводный план подготовки объектов  электроэнергетики к работе в осенне-зимний период 2025/2026 года                                                                                                                             Курильского муниципального округа Сахалинской области</t>
  </si>
  <si>
    <t>Приложение  5                                                                                                                                                                     к постановлению администрации Курильского муниципального округа Сахалинской области от 19 мая 2025 г.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</si>
</sst>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</cellStyleXfs>
  <cellXfs count="203">
    <xf numFmtId="0" fontId="0" fillId="0" borderId="0" xfId="0"/>
    <xf numFmtId="0" fontId="2" fillId="0" borderId="0" xfId="1" applyFont="1" applyProtection="1">
      <protection locked="0"/>
    </xf>
    <xf numFmtId="0" fontId="2" fillId="0" borderId="0" xfId="2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1" applyFont="1" applyAlignment="1" applyProtection="1">
      <alignment wrapText="1"/>
      <protection locked="0"/>
    </xf>
    <xf numFmtId="0" fontId="1" fillId="0" borderId="0" xfId="2" applyProtection="1">
      <protection locked="0"/>
    </xf>
    <xf numFmtId="0" fontId="6" fillId="0" borderId="27" xfId="1" applyFont="1" applyBorder="1" applyAlignment="1" applyProtection="1">
      <alignment horizontal="center" vertical="center"/>
      <protection locked="0"/>
    </xf>
    <xf numFmtId="0" fontId="6" fillId="0" borderId="29" xfId="1" applyFont="1" applyBorder="1" applyAlignment="1" applyProtection="1">
      <alignment horizontal="center" vertical="center"/>
      <protection locked="0"/>
    </xf>
    <xf numFmtId="0" fontId="6" fillId="0" borderId="30" xfId="1" applyFont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 wrapText="1"/>
      <protection locked="0"/>
    </xf>
    <xf numFmtId="0" fontId="6" fillId="0" borderId="31" xfId="1" applyFont="1" applyBorder="1" applyAlignment="1" applyProtection="1">
      <alignment horizontal="center"/>
      <protection locked="0"/>
    </xf>
    <xf numFmtId="0" fontId="6" fillId="0" borderId="32" xfId="1" applyFont="1" applyBorder="1" applyAlignment="1" applyProtection="1">
      <alignment horizontal="center"/>
      <protection locked="0"/>
    </xf>
    <xf numFmtId="0" fontId="6" fillId="0" borderId="35" xfId="1" applyFont="1" applyBorder="1" applyAlignment="1" applyProtection="1">
      <alignment horizontal="center"/>
      <protection locked="0"/>
    </xf>
    <xf numFmtId="0" fontId="6" fillId="0" borderId="37" xfId="1" applyFont="1" applyBorder="1" applyAlignment="1" applyProtection="1">
      <alignment horizontal="center"/>
      <protection locked="0"/>
    </xf>
    <xf numFmtId="0" fontId="6" fillId="2" borderId="35" xfId="1" applyFont="1" applyFill="1" applyBorder="1" applyAlignment="1" applyProtection="1">
      <alignment horizontal="center"/>
      <protection locked="0"/>
    </xf>
    <xf numFmtId="0" fontId="6" fillId="3" borderId="35" xfId="1" applyFont="1" applyFill="1" applyBorder="1" applyAlignment="1" applyProtection="1">
      <alignment horizontal="center"/>
      <protection locked="0"/>
    </xf>
    <xf numFmtId="0" fontId="6" fillId="0" borderId="36" xfId="1" applyFont="1" applyBorder="1" applyAlignment="1" applyProtection="1">
      <alignment horizontal="center"/>
      <protection locked="0"/>
    </xf>
    <xf numFmtId="0" fontId="2" fillId="0" borderId="38" xfId="1" applyFont="1" applyBorder="1" applyAlignment="1">
      <alignment horizontal="center"/>
    </xf>
    <xf numFmtId="0" fontId="2" fillId="0" borderId="39" xfId="1" applyFont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2" fillId="4" borderId="39" xfId="1" applyFont="1" applyFill="1" applyBorder="1" applyAlignment="1">
      <alignment horizontal="center"/>
    </xf>
    <xf numFmtId="164" fontId="2" fillId="0" borderId="39" xfId="1" applyNumberFormat="1" applyFont="1" applyBorder="1" applyAlignment="1">
      <alignment horizontal="center"/>
    </xf>
    <xf numFmtId="2" fontId="2" fillId="0" borderId="40" xfId="1" applyNumberFormat="1" applyFont="1" applyBorder="1" applyAlignment="1">
      <alignment horizontal="center"/>
    </xf>
    <xf numFmtId="2" fontId="2" fillId="0" borderId="38" xfId="1" applyNumberFormat="1" applyFont="1" applyBorder="1" applyAlignment="1">
      <alignment horizontal="center"/>
    </xf>
    <xf numFmtId="2" fontId="2" fillId="0" borderId="39" xfId="1" applyNumberFormat="1" applyFont="1" applyBorder="1" applyAlignment="1">
      <alignment horizontal="center"/>
    </xf>
    <xf numFmtId="2" fontId="2" fillId="2" borderId="39" xfId="1" applyNumberFormat="1" applyFont="1" applyFill="1" applyBorder="1" applyAlignment="1">
      <alignment horizontal="center"/>
    </xf>
    <xf numFmtId="2" fontId="2" fillId="3" borderId="41" xfId="1" applyNumberFormat="1" applyFont="1" applyFill="1" applyBorder="1" applyAlignment="1">
      <alignment horizontal="center"/>
    </xf>
    <xf numFmtId="2" fontId="2" fillId="0" borderId="41" xfId="1" applyNumberFormat="1" applyFont="1" applyBorder="1" applyAlignment="1">
      <alignment horizontal="center"/>
    </xf>
    <xf numFmtId="2" fontId="2" fillId="0" borderId="42" xfId="1" applyNumberFormat="1" applyFont="1" applyBorder="1" applyAlignment="1">
      <alignment horizontal="center"/>
    </xf>
    <xf numFmtId="2" fontId="2" fillId="0" borderId="46" xfId="1" applyNumberFormat="1" applyFont="1" applyBorder="1" applyAlignment="1">
      <alignment horizontal="center"/>
    </xf>
    <xf numFmtId="2" fontId="10" fillId="0" borderId="46" xfId="1" applyNumberFormat="1" applyFont="1" applyBorder="1" applyAlignment="1">
      <alignment horizontal="center"/>
    </xf>
    <xf numFmtId="2" fontId="11" fillId="0" borderId="48" xfId="1" applyNumberFormat="1" applyFont="1" applyBorder="1" applyAlignment="1">
      <alignment horizontal="center"/>
    </xf>
    <xf numFmtId="4" fontId="11" fillId="0" borderId="49" xfId="1" applyNumberFormat="1" applyFont="1" applyBorder="1" applyAlignment="1">
      <alignment horizontal="center"/>
    </xf>
    <xf numFmtId="2" fontId="2" fillId="2" borderId="46" xfId="1" applyNumberFormat="1" applyFont="1" applyFill="1" applyBorder="1" applyAlignment="1">
      <alignment horizontal="center"/>
    </xf>
    <xf numFmtId="2" fontId="2" fillId="3" borderId="46" xfId="1" applyNumberFormat="1" applyFont="1" applyFill="1" applyBorder="1" applyAlignment="1">
      <alignment horizontal="center"/>
    </xf>
    <xf numFmtId="2" fontId="2" fillId="0" borderId="47" xfId="1" applyNumberFormat="1" applyFont="1" applyBorder="1" applyAlignment="1">
      <alignment horizontal="center"/>
    </xf>
    <xf numFmtId="2" fontId="2" fillId="0" borderId="48" xfId="1" applyNumberFormat="1" applyFont="1" applyBorder="1" applyAlignment="1">
      <alignment horizontal="center"/>
    </xf>
    <xf numFmtId="2" fontId="3" fillId="0" borderId="0" xfId="0" applyNumberFormat="1" applyFont="1" applyProtection="1">
      <protection locked="0"/>
    </xf>
    <xf numFmtId="2" fontId="2" fillId="3" borderId="39" xfId="1" applyNumberFormat="1" applyFont="1" applyFill="1" applyBorder="1" applyAlignment="1">
      <alignment horizontal="center"/>
    </xf>
    <xf numFmtId="164" fontId="2" fillId="4" borderId="39" xfId="1" applyNumberFormat="1" applyFont="1" applyFill="1" applyBorder="1" applyAlignment="1">
      <alignment horizontal="center"/>
    </xf>
    <xf numFmtId="4" fontId="3" fillId="0" borderId="0" xfId="0" applyNumberFormat="1" applyFont="1" applyProtection="1">
      <protection locked="0"/>
    </xf>
    <xf numFmtId="0" fontId="10" fillId="4" borderId="39" xfId="1" applyFont="1" applyFill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41" xfId="1" applyFont="1" applyBorder="1" applyAlignment="1">
      <alignment horizontal="center"/>
    </xf>
    <xf numFmtId="0" fontId="2" fillId="4" borderId="41" xfId="1" applyFont="1" applyFill="1" applyBorder="1" applyAlignment="1">
      <alignment horizontal="center"/>
    </xf>
    <xf numFmtId="164" fontId="2" fillId="0" borderId="41" xfId="1" applyNumberFormat="1" applyFont="1" applyBorder="1" applyAlignment="1">
      <alignment horizontal="center"/>
    </xf>
    <xf numFmtId="2" fontId="2" fillId="0" borderId="55" xfId="1" applyNumberFormat="1" applyFont="1" applyBorder="1" applyAlignment="1">
      <alignment horizontal="center"/>
    </xf>
    <xf numFmtId="2" fontId="2" fillId="0" borderId="54" xfId="1" applyNumberFormat="1" applyFont="1" applyBorder="1" applyAlignment="1">
      <alignment horizontal="center"/>
    </xf>
    <xf numFmtId="2" fontId="2" fillId="2" borderId="41" xfId="1" applyNumberFormat="1" applyFont="1" applyFill="1" applyBorder="1" applyAlignment="1">
      <alignment horizontal="center"/>
    </xf>
    <xf numFmtId="2" fontId="2" fillId="0" borderId="56" xfId="1" applyNumberFormat="1" applyFont="1" applyBorder="1" applyAlignment="1">
      <alignment horizontal="center"/>
    </xf>
    <xf numFmtId="166" fontId="3" fillId="0" borderId="0" xfId="0" applyNumberFormat="1" applyFont="1" applyProtection="1">
      <protection locked="0"/>
    </xf>
    <xf numFmtId="2" fontId="12" fillId="0" borderId="46" xfId="1" applyNumberFormat="1" applyFont="1" applyBorder="1" applyAlignment="1">
      <alignment horizontal="center"/>
    </xf>
    <xf numFmtId="2" fontId="13" fillId="0" borderId="48" xfId="1" applyNumberFormat="1" applyFont="1" applyBorder="1" applyAlignment="1">
      <alignment horizontal="center"/>
    </xf>
    <xf numFmtId="2" fontId="11" fillId="5" borderId="59" xfId="1" applyNumberFormat="1" applyFont="1" applyFill="1" applyBorder="1" applyAlignment="1">
      <alignment horizontal="center"/>
    </xf>
    <xf numFmtId="2" fontId="11" fillId="5" borderId="60" xfId="1" applyNumberFormat="1" applyFont="1" applyFill="1" applyBorder="1" applyAlignment="1">
      <alignment horizontal="center"/>
    </xf>
    <xf numFmtId="1" fontId="11" fillId="5" borderId="60" xfId="1" applyNumberFormat="1" applyFont="1" applyFill="1" applyBorder="1" applyAlignment="1">
      <alignment horizontal="center"/>
    </xf>
    <xf numFmtId="2" fontId="11" fillId="5" borderId="61" xfId="1" applyNumberFormat="1" applyFont="1" applyFill="1" applyBorder="1" applyAlignment="1">
      <alignment horizontal="center"/>
    </xf>
    <xf numFmtId="2" fontId="2" fillId="3" borderId="60" xfId="1" applyNumberFormat="1" applyFont="1" applyFill="1" applyBorder="1" applyAlignment="1">
      <alignment horizontal="center"/>
    </xf>
    <xf numFmtId="2" fontId="11" fillId="5" borderId="62" xfId="1" applyNumberFormat="1" applyFont="1" applyFill="1" applyBorder="1" applyAlignment="1">
      <alignment horizontal="center"/>
    </xf>
    <xf numFmtId="2" fontId="11" fillId="5" borderId="52" xfId="1" applyNumberFormat="1" applyFont="1" applyFill="1" applyBorder="1" applyAlignment="1">
      <alignment horizontal="center"/>
    </xf>
    <xf numFmtId="4" fontId="11" fillId="5" borderId="51" xfId="1" applyNumberFormat="1" applyFont="1" applyFill="1" applyBorder="1" applyAlignment="1">
      <alignment horizontal="center"/>
    </xf>
    <xf numFmtId="2" fontId="11" fillId="5" borderId="50" xfId="1" applyNumberFormat="1" applyFont="1" applyFill="1" applyBorder="1" applyAlignment="1">
      <alignment horizontal="center"/>
    </xf>
    <xf numFmtId="2" fontId="11" fillId="3" borderId="52" xfId="1" applyNumberFormat="1" applyFont="1" applyFill="1" applyBorder="1" applyAlignment="1">
      <alignment horizontal="center"/>
    </xf>
    <xf numFmtId="2" fontId="2" fillId="0" borderId="0" xfId="1" applyNumberFormat="1" applyFont="1" applyAlignment="1" applyProtection="1">
      <alignment horizontal="center"/>
      <protection locked="0"/>
    </xf>
    <xf numFmtId="0" fontId="2" fillId="0" borderId="0" xfId="4" applyFont="1" applyProtection="1">
      <protection locked="0"/>
    </xf>
    <xf numFmtId="0" fontId="7" fillId="0" borderId="0" xfId="4" applyFont="1" applyProtection="1">
      <protection locked="0"/>
    </xf>
    <xf numFmtId="0" fontId="2" fillId="0" borderId="0" xfId="4" applyFont="1" applyAlignment="1" applyProtection="1">
      <alignment horizontal="center"/>
      <protection locked="0"/>
    </xf>
    <xf numFmtId="0" fontId="4" fillId="0" borderId="0" xfId="2" applyFont="1" applyProtection="1">
      <protection locked="0"/>
    </xf>
    <xf numFmtId="165" fontId="4" fillId="0" borderId="0" xfId="2" applyNumberFormat="1" applyFont="1" applyProtection="1">
      <protection locked="0"/>
    </xf>
    <xf numFmtId="2" fontId="14" fillId="0" borderId="0" xfId="1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" fillId="0" borderId="0" xfId="2" applyNumberFormat="1" applyProtection="1">
      <protection locked="0"/>
    </xf>
    <xf numFmtId="165" fontId="0" fillId="0" borderId="0" xfId="0" applyNumberFormat="1" applyProtection="1">
      <protection locked="0"/>
    </xf>
    <xf numFmtId="0" fontId="6" fillId="0" borderId="31" xfId="1" applyFont="1" applyBorder="1" applyAlignment="1" applyProtection="1">
      <alignment horizontal="center" wrapText="1"/>
      <protection locked="0"/>
    </xf>
    <xf numFmtId="0" fontId="6" fillId="0" borderId="32" xfId="1" applyFont="1" applyBorder="1" applyAlignment="1" applyProtection="1">
      <alignment horizontal="center" wrapText="1"/>
      <protection locked="0"/>
    </xf>
    <xf numFmtId="0" fontId="2" fillId="7" borderId="38" xfId="1" applyFont="1" applyFill="1" applyBorder="1" applyAlignment="1">
      <alignment horizontal="center"/>
    </xf>
    <xf numFmtId="0" fontId="10" fillId="7" borderId="39" xfId="1" applyFont="1" applyFill="1" applyBorder="1" applyAlignment="1">
      <alignment horizontal="center"/>
    </xf>
    <xf numFmtId="0" fontId="2" fillId="7" borderId="39" xfId="1" applyFont="1" applyFill="1" applyBorder="1" applyAlignment="1">
      <alignment horizontal="center"/>
    </xf>
    <xf numFmtId="164" fontId="2" fillId="7" borderId="39" xfId="1" applyNumberFormat="1" applyFont="1" applyFill="1" applyBorder="1" applyAlignment="1">
      <alignment horizontal="center"/>
    </xf>
    <xf numFmtId="2" fontId="2" fillId="7" borderId="40" xfId="1" applyNumberFormat="1" applyFont="1" applyFill="1" applyBorder="1" applyAlignment="1">
      <alignment horizontal="center"/>
    </xf>
    <xf numFmtId="2" fontId="2" fillId="7" borderId="38" xfId="1" applyNumberFormat="1" applyFont="1" applyFill="1" applyBorder="1" applyAlignment="1">
      <alignment horizontal="center"/>
    </xf>
    <xf numFmtId="2" fontId="2" fillId="7" borderId="39" xfId="1" applyNumberFormat="1" applyFont="1" applyFill="1" applyBorder="1" applyAlignment="1">
      <alignment horizontal="center"/>
    </xf>
    <xf numFmtId="2" fontId="2" fillId="7" borderId="42" xfId="1" applyNumberFormat="1" applyFont="1" applyFill="1" applyBorder="1" applyAlignment="1">
      <alignment horizontal="center"/>
    </xf>
    <xf numFmtId="0" fontId="3" fillId="7" borderId="0" xfId="0" applyFont="1" applyFill="1" applyProtection="1">
      <protection locked="0"/>
    </xf>
    <xf numFmtId="2" fontId="2" fillId="7" borderId="46" xfId="1" applyNumberFormat="1" applyFont="1" applyFill="1" applyBorder="1" applyAlignment="1">
      <alignment horizontal="center"/>
    </xf>
    <xf numFmtId="2" fontId="11" fillId="7" borderId="48" xfId="1" applyNumberFormat="1" applyFont="1" applyFill="1" applyBorder="1" applyAlignment="1">
      <alignment horizontal="center"/>
    </xf>
    <xf numFmtId="4" fontId="11" fillId="7" borderId="49" xfId="1" applyNumberFormat="1" applyFont="1" applyFill="1" applyBorder="1" applyAlignment="1">
      <alignment horizontal="center"/>
    </xf>
    <xf numFmtId="2" fontId="2" fillId="7" borderId="47" xfId="1" applyNumberFormat="1" applyFont="1" applyFill="1" applyBorder="1" applyAlignment="1">
      <alignment horizontal="center"/>
    </xf>
    <xf numFmtId="2" fontId="2" fillId="7" borderId="48" xfId="1" applyNumberFormat="1" applyFont="1" applyFill="1" applyBorder="1" applyAlignment="1">
      <alignment horizontal="center"/>
    </xf>
    <xf numFmtId="2" fontId="2" fillId="7" borderId="53" xfId="1" applyNumberFormat="1" applyFont="1" applyFill="1" applyBorder="1" applyAlignment="1">
      <alignment horizontal="center"/>
    </xf>
    <xf numFmtId="165" fontId="2" fillId="7" borderId="46" xfId="1" applyNumberFormat="1" applyFont="1" applyFill="1" applyBorder="1" applyAlignment="1">
      <alignment horizontal="center"/>
    </xf>
    <xf numFmtId="2" fontId="3" fillId="7" borderId="0" xfId="0" applyNumberFormat="1" applyFont="1" applyFill="1" applyProtection="1">
      <protection locked="0"/>
    </xf>
    <xf numFmtId="2" fontId="10" fillId="7" borderId="46" xfId="1" applyNumberFormat="1" applyFont="1" applyFill="1" applyBorder="1" applyAlignment="1">
      <alignment horizontal="center"/>
    </xf>
    <xf numFmtId="0" fontId="0" fillId="6" borderId="0" xfId="0" applyFill="1"/>
    <xf numFmtId="0" fontId="0" fillId="9" borderId="0" xfId="0" applyFill="1"/>
    <xf numFmtId="2" fontId="0" fillId="0" borderId="0" xfId="0" applyNumberFormat="1"/>
    <xf numFmtId="0" fontId="16" fillId="9" borderId="67" xfId="0" applyFont="1" applyFill="1" applyBorder="1" applyAlignment="1">
      <alignment horizontal="center" vertical="center" wrapText="1"/>
    </xf>
    <xf numFmtId="2" fontId="16" fillId="9" borderId="67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6" fillId="9" borderId="0" xfId="0" applyFont="1" applyFill="1" applyAlignment="1">
      <alignment horizontal="center" vertical="center" wrapText="1"/>
    </xf>
    <xf numFmtId="2" fontId="16" fillId="9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4" fontId="16" fillId="9" borderId="67" xfId="0" applyNumberFormat="1" applyFont="1" applyFill="1" applyBorder="1" applyAlignment="1">
      <alignment horizontal="center" vertical="center"/>
    </xf>
    <xf numFmtId="4" fontId="16" fillId="9" borderId="67" xfId="0" applyNumberFormat="1" applyFont="1" applyFill="1" applyBorder="1" applyAlignment="1">
      <alignment horizontal="center" vertical="center" wrapText="1"/>
    </xf>
    <xf numFmtId="4" fontId="18" fillId="0" borderId="67" xfId="0" applyNumberFormat="1" applyFont="1" applyBorder="1" applyAlignment="1">
      <alignment horizontal="center" vertical="center"/>
    </xf>
    <xf numFmtId="0" fontId="2" fillId="0" borderId="63" xfId="1" applyFont="1" applyBorder="1" applyAlignment="1" applyProtection="1">
      <alignment horizontal="center" vertical="top" wrapText="1"/>
      <protection locked="0"/>
    </xf>
    <xf numFmtId="0" fontId="2" fillId="0" borderId="64" xfId="1" applyFont="1" applyBorder="1" applyAlignment="1" applyProtection="1">
      <alignment horizontal="center" vertical="top" wrapText="1"/>
      <protection locked="0"/>
    </xf>
    <xf numFmtId="2" fontId="11" fillId="5" borderId="51" xfId="1" applyNumberFormat="1" applyFont="1" applyFill="1" applyBorder="1" applyAlignment="1">
      <alignment horizontal="center"/>
    </xf>
    <xf numFmtId="2" fontId="11" fillId="5" borderId="52" xfId="1" applyNumberFormat="1" applyFont="1" applyFill="1" applyBorder="1" applyAlignment="1">
      <alignment horizontal="center"/>
    </xf>
    <xf numFmtId="2" fontId="11" fillId="5" borderId="65" xfId="1" applyNumberFormat="1" applyFont="1" applyFill="1" applyBorder="1" applyAlignment="1">
      <alignment horizontal="center"/>
    </xf>
    <xf numFmtId="2" fontId="11" fillId="5" borderId="66" xfId="1" applyNumberFormat="1" applyFont="1" applyFill="1" applyBorder="1" applyAlignment="1">
      <alignment horizontal="center"/>
    </xf>
    <xf numFmtId="0" fontId="4" fillId="0" borderId="0" xfId="1" applyFont="1" applyAlignment="1" applyProtection="1">
      <alignment horizontal="center"/>
      <protection locked="0"/>
    </xf>
    <xf numFmtId="0" fontId="2" fillId="0" borderId="15" xfId="1" applyFont="1" applyBorder="1" applyAlignment="1" applyProtection="1">
      <alignment horizontal="left" vertical="top"/>
      <protection locked="0"/>
    </xf>
    <xf numFmtId="0" fontId="2" fillId="0" borderId="9" xfId="1" applyFont="1" applyBorder="1" applyAlignment="1" applyProtection="1">
      <alignment horizontal="left" vertical="top"/>
      <protection locked="0"/>
    </xf>
    <xf numFmtId="0" fontId="2" fillId="0" borderId="22" xfId="1" applyFont="1" applyBorder="1" applyAlignment="1" applyProtection="1">
      <alignment horizontal="left" vertical="top" wrapText="1"/>
      <protection locked="0"/>
    </xf>
    <xf numFmtId="0" fontId="2" fillId="0" borderId="43" xfId="1" applyFont="1" applyBorder="1" applyAlignment="1" applyProtection="1">
      <alignment horizontal="left" vertical="top" wrapText="1"/>
      <protection locked="0"/>
    </xf>
    <xf numFmtId="2" fontId="2" fillId="0" borderId="44" xfId="1" applyNumberFormat="1" applyFont="1" applyBorder="1" applyAlignment="1">
      <alignment horizontal="center"/>
    </xf>
    <xf numFmtId="2" fontId="2" fillId="0" borderId="45" xfId="1" applyNumberFormat="1" applyFont="1" applyBorder="1" applyAlignment="1">
      <alignment horizontal="center"/>
    </xf>
    <xf numFmtId="2" fontId="2" fillId="0" borderId="47" xfId="1" applyNumberFormat="1" applyFont="1" applyBorder="1" applyAlignment="1">
      <alignment horizontal="center"/>
    </xf>
    <xf numFmtId="0" fontId="2" fillId="0" borderId="57" xfId="1" applyFont="1" applyBorder="1" applyAlignment="1" applyProtection="1">
      <alignment horizontal="center" vertical="top" wrapText="1"/>
      <protection locked="0"/>
    </xf>
    <xf numFmtId="0" fontId="2" fillId="0" borderId="58" xfId="1" applyFont="1" applyBorder="1" applyAlignment="1" applyProtection="1">
      <alignment horizontal="center" vertical="top" wrapText="1"/>
      <protection locked="0"/>
    </xf>
    <xf numFmtId="0" fontId="2" fillId="8" borderId="22" xfId="1" applyFont="1" applyFill="1" applyBorder="1" applyAlignment="1" applyProtection="1">
      <alignment horizontal="left" vertical="top" wrapText="1"/>
      <protection locked="0"/>
    </xf>
    <xf numFmtId="0" fontId="2" fillId="8" borderId="43" xfId="1" applyFont="1" applyFill="1" applyBorder="1" applyAlignment="1" applyProtection="1">
      <alignment horizontal="left" vertical="top" wrapText="1"/>
      <protection locked="0"/>
    </xf>
    <xf numFmtId="2" fontId="10" fillId="0" borderId="44" xfId="1" applyNumberFormat="1" applyFont="1" applyBorder="1" applyAlignment="1">
      <alignment horizontal="center"/>
    </xf>
    <xf numFmtId="2" fontId="10" fillId="0" borderId="45" xfId="1" applyNumberFormat="1" applyFont="1" applyBorder="1" applyAlignment="1">
      <alignment horizontal="center"/>
    </xf>
    <xf numFmtId="2" fontId="10" fillId="0" borderId="47" xfId="1" applyNumberFormat="1" applyFont="1" applyBorder="1" applyAlignment="1">
      <alignment horizontal="center"/>
    </xf>
    <xf numFmtId="0" fontId="2" fillId="8" borderId="10" xfId="1" applyFont="1" applyFill="1" applyBorder="1" applyAlignment="1" applyProtection="1">
      <alignment horizontal="left" vertical="top" wrapText="1"/>
      <protection locked="0"/>
    </xf>
    <xf numFmtId="0" fontId="2" fillId="7" borderId="15" xfId="1" applyFont="1" applyFill="1" applyBorder="1" applyAlignment="1" applyProtection="1">
      <alignment horizontal="left" vertical="top"/>
      <protection locked="0"/>
    </xf>
    <xf numFmtId="0" fontId="2" fillId="7" borderId="9" xfId="1" applyFont="1" applyFill="1" applyBorder="1" applyAlignment="1" applyProtection="1">
      <alignment horizontal="left" vertical="top"/>
      <protection locked="0"/>
    </xf>
    <xf numFmtId="0" fontId="2" fillId="7" borderId="22" xfId="1" applyFont="1" applyFill="1" applyBorder="1" applyAlignment="1" applyProtection="1">
      <alignment horizontal="left" vertical="top" wrapText="1"/>
      <protection locked="0"/>
    </xf>
    <xf numFmtId="0" fontId="2" fillId="7" borderId="43" xfId="1" applyFont="1" applyFill="1" applyBorder="1" applyAlignment="1" applyProtection="1">
      <alignment horizontal="left" vertical="top" wrapText="1"/>
      <protection locked="0"/>
    </xf>
    <xf numFmtId="2" fontId="2" fillId="7" borderId="44" xfId="1" applyNumberFormat="1" applyFont="1" applyFill="1" applyBorder="1" applyAlignment="1">
      <alignment horizontal="center"/>
    </xf>
    <xf numFmtId="2" fontId="2" fillId="7" borderId="45" xfId="1" applyNumberFormat="1" applyFont="1" applyFill="1" applyBorder="1" applyAlignment="1">
      <alignment horizontal="center"/>
    </xf>
    <xf numFmtId="2" fontId="2" fillId="7" borderId="47" xfId="1" applyNumberFormat="1" applyFont="1" applyFill="1" applyBorder="1" applyAlignment="1">
      <alignment horizontal="center"/>
    </xf>
    <xf numFmtId="0" fontId="7" fillId="0" borderId="22" xfId="1" applyFont="1" applyBorder="1" applyAlignment="1" applyProtection="1">
      <alignment horizontal="center" vertical="center" wrapText="1"/>
      <protection locked="0"/>
    </xf>
    <xf numFmtId="0" fontId="7" fillId="0" borderId="10" xfId="1" applyFont="1" applyBorder="1" applyAlignment="1" applyProtection="1">
      <alignment horizontal="center" vertical="center" wrapText="1"/>
      <protection locked="0"/>
    </xf>
    <xf numFmtId="0" fontId="7" fillId="0" borderId="28" xfId="1" applyFont="1" applyBorder="1" applyAlignment="1" applyProtection="1">
      <alignment horizontal="center" vertical="center" wrapText="1"/>
      <protection locked="0"/>
    </xf>
    <xf numFmtId="0" fontId="6" fillId="0" borderId="33" xfId="1" applyFont="1" applyBorder="1" applyAlignment="1" applyProtection="1">
      <alignment horizontal="center"/>
      <protection locked="0"/>
    </xf>
    <xf numFmtId="0" fontId="6" fillId="0" borderId="34" xfId="1" applyFont="1" applyBorder="1" applyAlignment="1" applyProtection="1">
      <alignment horizontal="center"/>
      <protection locked="0"/>
    </xf>
    <xf numFmtId="0" fontId="6" fillId="0" borderId="36" xfId="1" applyFont="1" applyBorder="1" applyAlignment="1" applyProtection="1">
      <alignment horizontal="center"/>
      <protection locked="0"/>
    </xf>
    <xf numFmtId="0" fontId="7" fillId="0" borderId="19" xfId="1" applyFont="1" applyBorder="1" applyAlignment="1" applyProtection="1">
      <alignment horizontal="center" vertical="center" wrapText="1"/>
      <protection locked="0"/>
    </xf>
    <xf numFmtId="0" fontId="7" fillId="0" borderId="13" xfId="1" applyFont="1" applyBorder="1" applyAlignment="1" applyProtection="1">
      <alignment horizontal="center" vertical="center" wrapText="1"/>
      <protection locked="0"/>
    </xf>
    <xf numFmtId="0" fontId="7" fillId="0" borderId="30" xfId="1" applyFont="1" applyBorder="1" applyAlignment="1" applyProtection="1">
      <alignment horizontal="center" vertical="center" wrapText="1"/>
      <protection locked="0"/>
    </xf>
    <xf numFmtId="0" fontId="7" fillId="0" borderId="25" xfId="1" applyFont="1" applyBorder="1" applyAlignment="1" applyProtection="1">
      <alignment horizontal="center" vertical="center" wrapText="1"/>
      <protection locked="0"/>
    </xf>
    <xf numFmtId="0" fontId="6" fillId="0" borderId="13" xfId="1" applyFont="1" applyBorder="1" applyAlignment="1" applyProtection="1">
      <alignment horizontal="center" vertical="center" wrapText="1"/>
      <protection locked="0"/>
    </xf>
    <xf numFmtId="0" fontId="6" fillId="0" borderId="25" xfId="1" applyFont="1" applyBorder="1" applyAlignment="1" applyProtection="1">
      <alignment horizontal="center" vertical="center" wrapText="1"/>
      <protection locked="0"/>
    </xf>
    <xf numFmtId="0" fontId="6" fillId="0" borderId="16" xfId="1" applyFont="1" applyBorder="1" applyAlignment="1" applyProtection="1">
      <alignment horizontal="center"/>
      <protection locked="0"/>
    </xf>
    <xf numFmtId="0" fontId="6" fillId="0" borderId="17" xfId="1" applyFont="1" applyBorder="1" applyAlignment="1" applyProtection="1">
      <alignment horizontal="center"/>
      <protection locked="0"/>
    </xf>
    <xf numFmtId="0" fontId="6" fillId="0" borderId="18" xfId="1" applyFont="1" applyBorder="1" applyAlignment="1" applyProtection="1">
      <alignment horizontal="center"/>
      <protection locked="0"/>
    </xf>
    <xf numFmtId="0" fontId="7" fillId="2" borderId="20" xfId="1" applyFont="1" applyFill="1" applyBorder="1" applyAlignment="1" applyProtection="1">
      <alignment horizontal="center" vertical="center" wrapText="1"/>
      <protection locked="0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21" xfId="1" applyFont="1" applyFill="1" applyBorder="1" applyAlignment="1" applyProtection="1">
      <alignment horizontal="center" vertical="center" wrapText="1"/>
      <protection locked="0"/>
    </xf>
    <xf numFmtId="0" fontId="7" fillId="2" borderId="26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24" xfId="1" applyFont="1" applyFill="1" applyBorder="1" applyAlignment="1" applyProtection="1">
      <alignment horizontal="center" vertical="center" wrapText="1"/>
      <protection locked="0"/>
    </xf>
    <xf numFmtId="0" fontId="8" fillId="3" borderId="19" xfId="1" applyFont="1" applyFill="1" applyBorder="1" applyAlignment="1" applyProtection="1">
      <alignment horizontal="center" vertical="center" wrapText="1"/>
      <protection locked="0"/>
    </xf>
    <xf numFmtId="0" fontId="8" fillId="3" borderId="13" xfId="1" applyFont="1" applyFill="1" applyBorder="1" applyAlignment="1" applyProtection="1">
      <alignment horizontal="center" vertical="center" wrapText="1"/>
      <protection locked="0"/>
    </xf>
    <xf numFmtId="0" fontId="8" fillId="3" borderId="30" xfId="1" applyFont="1" applyFill="1" applyBorder="1" applyAlignment="1" applyProtection="1">
      <alignment horizontal="center" vertical="center" wrapText="1"/>
      <protection locked="0"/>
    </xf>
    <xf numFmtId="0" fontId="6" fillId="0" borderId="19" xfId="1" applyFont="1" applyBorder="1" applyAlignment="1" applyProtection="1">
      <alignment horizontal="center" vertical="center" wrapText="1"/>
      <protection locked="0"/>
    </xf>
    <xf numFmtId="0" fontId="6" fillId="0" borderId="30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Alignment="1" applyProtection="1">
      <alignment horizontal="right"/>
      <protection locked="0"/>
    </xf>
    <xf numFmtId="0" fontId="4" fillId="0" borderId="0" xfId="1" applyFont="1" applyAlignment="1" applyProtection="1">
      <alignment horizontal="center" wrapText="1"/>
      <protection locked="0"/>
    </xf>
    <xf numFmtId="0" fontId="2" fillId="0" borderId="0" xfId="1" applyFont="1" applyAlignment="1" applyProtection="1">
      <alignment horizontal="right" vertical="top" wrapText="1"/>
      <protection locked="0"/>
    </xf>
    <xf numFmtId="0" fontId="4" fillId="0" borderId="1" xfId="1" applyFont="1" applyBorder="1" applyAlignment="1" applyProtection="1">
      <alignment horizontal="center"/>
      <protection locked="0"/>
    </xf>
    <xf numFmtId="0" fontId="4" fillId="0" borderId="0" xfId="1" applyFont="1" applyAlignment="1" applyProtection="1">
      <alignment horizontal="left"/>
      <protection locked="0"/>
    </xf>
    <xf numFmtId="0" fontId="5" fillId="0" borderId="2" xfId="1" applyFont="1" applyBorder="1" applyAlignment="1" applyProtection="1">
      <alignment horizontal="center" vertical="top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2" fillId="0" borderId="27" xfId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horizontal="center" vertical="center" wrapText="1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0" fontId="2" fillId="0" borderId="28" xfId="1" applyFont="1" applyBorder="1" applyAlignment="1" applyProtection="1">
      <alignment horizontal="center" vertical="center" wrapText="1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 wrapText="1"/>
      <protection locked="0"/>
    </xf>
    <xf numFmtId="0" fontId="6" fillId="0" borderId="12" xfId="1" applyFont="1" applyBorder="1" applyAlignment="1" applyProtection="1">
      <alignment horizontal="center" vertical="center" wrapText="1"/>
      <protection locked="0"/>
    </xf>
    <xf numFmtId="0" fontId="6" fillId="0" borderId="23" xfId="1" applyFont="1" applyBorder="1" applyAlignment="1" applyProtection="1">
      <alignment horizontal="center" vertical="center" wrapText="1"/>
      <protection locked="0"/>
    </xf>
    <xf numFmtId="0" fontId="6" fillId="0" borderId="24" xfId="1" applyFont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 applyProtection="1">
      <alignment horizontal="center" vertical="center" wrapText="1"/>
      <protection locked="0"/>
    </xf>
    <xf numFmtId="0" fontId="6" fillId="0" borderId="28" xfId="1" applyFont="1" applyBorder="1" applyAlignment="1" applyProtection="1">
      <alignment horizontal="center" vertical="center" wrapText="1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 applyProtection="1">
      <alignment horizontal="center" vertical="center"/>
      <protection locked="0"/>
    </xf>
    <xf numFmtId="0" fontId="6" fillId="0" borderId="27" xfId="1" applyFont="1" applyBorder="1" applyAlignment="1" applyProtection="1">
      <alignment horizontal="center" vertical="center"/>
      <protection locked="0"/>
    </xf>
    <xf numFmtId="0" fontId="6" fillId="0" borderId="14" xfId="1" applyFont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 applyProtection="1">
      <alignment horizontal="center" vertical="center" wrapText="1"/>
      <protection locked="0"/>
    </xf>
    <xf numFmtId="0" fontId="2" fillId="0" borderId="15" xfId="1" applyFont="1" applyBorder="1" applyAlignment="1" applyProtection="1">
      <alignment horizontal="left" vertical="top" wrapText="1"/>
      <protection locked="0"/>
    </xf>
    <xf numFmtId="0" fontId="2" fillId="0" borderId="9" xfId="1" applyFont="1" applyBorder="1" applyAlignment="1" applyProtection="1">
      <alignment horizontal="left" vertical="top" wrapText="1"/>
      <protection locked="0"/>
    </xf>
    <xf numFmtId="0" fontId="2" fillId="0" borderId="10" xfId="1" applyFont="1" applyBorder="1" applyAlignment="1" applyProtection="1">
      <alignment horizontal="left" vertical="top" wrapText="1"/>
      <protection locked="0"/>
    </xf>
    <xf numFmtId="0" fontId="2" fillId="6" borderId="15" xfId="1" applyFont="1" applyFill="1" applyBorder="1" applyAlignment="1" applyProtection="1">
      <alignment horizontal="left" vertical="top" wrapText="1"/>
      <protection locked="0"/>
    </xf>
    <xf numFmtId="0" fontId="2" fillId="6" borderId="9" xfId="1" applyFont="1" applyFill="1" applyBorder="1" applyAlignment="1" applyProtection="1">
      <alignment horizontal="left" vertical="top" wrapText="1"/>
      <protection locked="0"/>
    </xf>
    <xf numFmtId="0" fontId="2" fillId="6" borderId="22" xfId="1" applyFont="1" applyFill="1" applyBorder="1" applyAlignment="1" applyProtection="1">
      <alignment horizontal="left" vertical="top" wrapText="1"/>
      <protection locked="0"/>
    </xf>
    <xf numFmtId="0" fontId="2" fillId="6" borderId="43" xfId="1" applyFont="1" applyFill="1" applyBorder="1" applyAlignment="1" applyProtection="1">
      <alignment horizontal="left" vertical="top" wrapText="1"/>
      <protection locked="0"/>
    </xf>
    <xf numFmtId="0" fontId="17" fillId="0" borderId="0" xfId="0" applyFont="1" applyAlignment="1">
      <alignment horizontal="left" vertical="top" wrapText="1"/>
    </xf>
    <xf numFmtId="0" fontId="0" fillId="9" borderId="0" xfId="0" applyFill="1" applyAlignment="1">
      <alignment horizontal="center"/>
    </xf>
    <xf numFmtId="0" fontId="16" fillId="9" borderId="67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 xr:uid="{00000000-0005-0000-0000-000001000000}"/>
    <cellStyle name="Обычный_Лист1" xfId="4" xr:uid="{00000000-0005-0000-0000-000002000000}"/>
    <cellStyle name="Обычный_Лист1_1" xfId="1" xr:uid="{00000000-0005-0000-0000-000003000000}"/>
    <cellStyle name="Процентный 2" xfId="3" xr:uid="{00000000-0005-0000-0000-000004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.melnikov\AppData\Local\Microsoft\Windows\INetCache\Content.Outlook\HPM9A2P2\&#1086;&#1090;&#1095;&#1077;&#1090;&#1099;\&#1055;&#1086;&#1076;&#1075;&#1086;&#1090;&#1086;&#1074;&#1082;&#1072;%20&#1082;%20&#1054;&#1047;&#1055;%202016-2017\&#1057;&#1055;-2016\&#1057;&#1055;-2016%20&#1089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"/>
      <sheetName val="финансирование"/>
      <sheetName val="Курильский"/>
      <sheetName val="С-Курильск"/>
      <sheetName val="Невельск"/>
      <sheetName val="Анива"/>
      <sheetName val="Макаров"/>
      <sheetName val="Шахтерск"/>
      <sheetName val="Ю-сах"/>
      <sheetName val="износ, аварии"/>
      <sheetName val="Лист5"/>
      <sheetName val="Лист7"/>
      <sheetName val="Лист8"/>
      <sheetName val="Лист1"/>
    </sheetNames>
    <sheetDataSet>
      <sheetData sheetId="0"/>
      <sheetData sheetId="1">
        <row r="13">
          <cell r="F13">
            <v>2321.6999999999998</v>
          </cell>
          <cell r="G13">
            <v>10000</v>
          </cell>
          <cell r="H13">
            <v>41920.1</v>
          </cell>
          <cell r="I13">
            <v>22251.3</v>
          </cell>
        </row>
        <row r="14">
          <cell r="F14">
            <v>13539.8</v>
          </cell>
          <cell r="H14">
            <v>31893</v>
          </cell>
          <cell r="I14">
            <v>0</v>
          </cell>
        </row>
        <row r="15">
          <cell r="H15">
            <v>84228.3</v>
          </cell>
          <cell r="I15">
            <v>10697.9</v>
          </cell>
        </row>
        <row r="16">
          <cell r="H16">
            <v>84293.5</v>
          </cell>
          <cell r="I16">
            <v>0</v>
          </cell>
        </row>
        <row r="17">
          <cell r="F17">
            <v>29500</v>
          </cell>
          <cell r="H17">
            <v>148383.29999999999</v>
          </cell>
          <cell r="I17">
            <v>52100</v>
          </cell>
        </row>
        <row r="18">
          <cell r="F18">
            <v>7019.7</v>
          </cell>
          <cell r="H18">
            <v>19129.8</v>
          </cell>
          <cell r="I18">
            <v>28098</v>
          </cell>
        </row>
        <row r="19">
          <cell r="F19">
            <v>20876.5</v>
          </cell>
          <cell r="G19">
            <v>5300</v>
          </cell>
          <cell r="H19">
            <v>21176.1</v>
          </cell>
          <cell r="I19">
            <v>0</v>
          </cell>
        </row>
        <row r="20">
          <cell r="F20">
            <v>31374.799999999999</v>
          </cell>
          <cell r="G20">
            <v>30000</v>
          </cell>
          <cell r="H20">
            <v>43545.2</v>
          </cell>
          <cell r="I20">
            <v>13479.2</v>
          </cell>
        </row>
        <row r="21">
          <cell r="F21">
            <v>0</v>
          </cell>
          <cell r="H21">
            <v>46697.4</v>
          </cell>
          <cell r="I21">
            <v>22053.200000000001</v>
          </cell>
        </row>
        <row r="22">
          <cell r="F22">
            <v>4800</v>
          </cell>
          <cell r="G22">
            <v>7500</v>
          </cell>
          <cell r="H22">
            <v>9578.6</v>
          </cell>
          <cell r="I22">
            <v>12291.8</v>
          </cell>
        </row>
        <row r="23">
          <cell r="F23">
            <v>0</v>
          </cell>
          <cell r="H23">
            <v>26140.799999999999</v>
          </cell>
          <cell r="I23">
            <v>12993.3</v>
          </cell>
        </row>
        <row r="24">
          <cell r="F24">
            <v>43947.8</v>
          </cell>
          <cell r="G24">
            <v>18000</v>
          </cell>
          <cell r="H24">
            <v>21012.7</v>
          </cell>
          <cell r="I24">
            <v>0</v>
          </cell>
        </row>
        <row r="25">
          <cell r="F25">
            <v>33808</v>
          </cell>
          <cell r="H25">
            <v>27992.2</v>
          </cell>
          <cell r="I25">
            <v>0</v>
          </cell>
        </row>
        <row r="26">
          <cell r="F26">
            <v>1758.9</v>
          </cell>
          <cell r="G26">
            <v>10000</v>
          </cell>
          <cell r="H26">
            <v>20809.5</v>
          </cell>
          <cell r="I26">
            <v>13556.5</v>
          </cell>
        </row>
        <row r="27">
          <cell r="F27">
            <v>0</v>
          </cell>
          <cell r="G27">
            <v>30000</v>
          </cell>
          <cell r="H27">
            <v>18201.8</v>
          </cell>
          <cell r="I27">
            <v>0</v>
          </cell>
        </row>
        <row r="28">
          <cell r="F28">
            <v>0</v>
          </cell>
          <cell r="G28">
            <v>9000</v>
          </cell>
          <cell r="H28">
            <v>15457.6</v>
          </cell>
          <cell r="I28">
            <v>0</v>
          </cell>
        </row>
        <row r="29">
          <cell r="F29">
            <v>310000</v>
          </cell>
          <cell r="G29">
            <v>87786.9</v>
          </cell>
          <cell r="H29">
            <v>82105.899999999994</v>
          </cell>
          <cell r="I29">
            <v>0</v>
          </cell>
        </row>
        <row r="30">
          <cell r="F30">
            <v>16907.3</v>
          </cell>
          <cell r="G30">
            <v>0</v>
          </cell>
          <cell r="H30">
            <v>23214.6</v>
          </cell>
          <cell r="I30">
            <v>14018.8</v>
          </cell>
        </row>
        <row r="31">
          <cell r="F31">
            <v>46685</v>
          </cell>
          <cell r="G31">
            <v>229500</v>
          </cell>
          <cell r="I31">
            <v>70000</v>
          </cell>
        </row>
        <row r="32">
          <cell r="F32">
            <v>2976.5</v>
          </cell>
          <cell r="H32">
            <v>29238.799999999999</v>
          </cell>
          <cell r="I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62"/>
  <sheetViews>
    <sheetView topLeftCell="A10" zoomScale="60" zoomScaleNormal="60" workbookViewId="0">
      <selection activeCell="B26" sqref="B26:B27"/>
    </sheetView>
  </sheetViews>
  <sheetFormatPr defaultColWidth="9.140625" defaultRowHeight="15" outlineLevelCol="1" x14ac:dyDescent="0.25"/>
  <cols>
    <col min="1" max="1" width="5.85546875" style="3" customWidth="1"/>
    <col min="2" max="2" width="46.42578125" style="3" customWidth="1"/>
    <col min="3" max="3" width="10.140625" style="3" customWidth="1"/>
    <col min="4" max="4" width="10.42578125" style="3" customWidth="1"/>
    <col min="5" max="5" width="10.28515625" style="3" customWidth="1"/>
    <col min="6" max="6" width="12.28515625" style="3" customWidth="1"/>
    <col min="7" max="9" width="9.42578125" style="3" customWidth="1"/>
    <col min="10" max="10" width="12.28515625" style="3" customWidth="1"/>
    <col min="11" max="11" width="9.42578125" style="3" customWidth="1"/>
    <col min="12" max="12" width="10.42578125" style="3" customWidth="1"/>
    <col min="13" max="13" width="10.28515625" style="3" customWidth="1"/>
    <col min="14" max="14" width="11.85546875" style="3" customWidth="1"/>
    <col min="15" max="15" width="9.42578125" style="3" customWidth="1"/>
    <col min="16" max="16" width="10.85546875" style="3" customWidth="1"/>
    <col min="17" max="17" width="10.140625" style="3" customWidth="1"/>
    <col min="18" max="18" width="9.42578125" style="3" customWidth="1"/>
    <col min="19" max="19" width="11.28515625" style="3" customWidth="1"/>
    <col min="20" max="21" width="11.7109375" style="3" customWidth="1"/>
    <col min="22" max="24" width="11.7109375" style="3" customWidth="1" outlineLevel="1"/>
    <col min="25" max="26" width="11.7109375" style="3" customWidth="1"/>
    <col min="27" max="31" width="11.7109375" style="70" customWidth="1" outlineLevel="1"/>
    <col min="32" max="38" width="11.7109375" style="3" customWidth="1"/>
    <col min="39" max="16384" width="9.140625" style="3"/>
  </cols>
  <sheetData>
    <row r="1" spans="1:40" ht="15.75" x14ac:dyDescent="0.25">
      <c r="A1" s="161" t="s">
        <v>0</v>
      </c>
      <c r="B1" s="161"/>
      <c r="C1" s="161"/>
      <c r="D1" s="16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162" t="s">
        <v>1</v>
      </c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</row>
    <row r="2" spans="1:40" ht="18.75" customHeight="1" x14ac:dyDescent="0.3">
      <c r="A2" s="163" t="s">
        <v>2</v>
      </c>
      <c r="B2" s="163"/>
      <c r="C2" s="163"/>
      <c r="D2" s="163"/>
      <c r="E2" s="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2"/>
      <c r="R2" s="164" t="s">
        <v>3</v>
      </c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</row>
    <row r="3" spans="1:40" ht="18.75" x14ac:dyDescent="0.3">
      <c r="A3" s="165"/>
      <c r="B3" s="165"/>
      <c r="C3" s="166" t="s">
        <v>4</v>
      </c>
      <c r="D3" s="166"/>
      <c r="E3" s="166"/>
      <c r="F3" s="5"/>
      <c r="G3" s="5"/>
      <c r="H3" s="1"/>
      <c r="I3" s="1"/>
      <c r="J3" s="1"/>
      <c r="K3" s="1"/>
      <c r="L3" s="1"/>
      <c r="M3" s="1"/>
      <c r="N3" s="1"/>
      <c r="O3" s="1"/>
      <c r="P3" s="1"/>
      <c r="Q3" s="2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</row>
    <row r="4" spans="1:40" ht="15.75" x14ac:dyDescent="0.25">
      <c r="A4" s="167" t="s">
        <v>5</v>
      </c>
      <c r="B4" s="167"/>
      <c r="C4" s="5"/>
      <c r="D4" s="5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40" ht="38.25" customHeight="1" thickBot="1" x14ac:dyDescent="0.3">
      <c r="A5" s="168" t="s">
        <v>6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</row>
    <row r="6" spans="1:40" ht="36" customHeight="1" x14ac:dyDescent="0.25">
      <c r="A6" s="169" t="s">
        <v>7</v>
      </c>
      <c r="B6" s="172" t="s">
        <v>8</v>
      </c>
      <c r="C6" s="175" t="s">
        <v>9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7"/>
      <c r="T6" s="178" t="s">
        <v>10</v>
      </c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80"/>
    </row>
    <row r="7" spans="1:40" x14ac:dyDescent="0.25">
      <c r="A7" s="170"/>
      <c r="B7" s="173"/>
      <c r="C7" s="181" t="s">
        <v>11</v>
      </c>
      <c r="D7" s="182"/>
      <c r="E7" s="145" t="s">
        <v>12</v>
      </c>
      <c r="F7" s="145" t="s">
        <v>13</v>
      </c>
      <c r="G7" s="145" t="s">
        <v>14</v>
      </c>
      <c r="H7" s="145" t="s">
        <v>15</v>
      </c>
      <c r="I7" s="145" t="s">
        <v>16</v>
      </c>
      <c r="J7" s="145" t="s">
        <v>17</v>
      </c>
      <c r="K7" s="190" t="s">
        <v>18</v>
      </c>
      <c r="L7" s="182"/>
      <c r="M7" s="142" t="s">
        <v>19</v>
      </c>
      <c r="N7" s="145" t="s">
        <v>20</v>
      </c>
      <c r="O7" s="142" t="s">
        <v>21</v>
      </c>
      <c r="P7" s="145" t="s">
        <v>22</v>
      </c>
      <c r="Q7" s="145" t="s">
        <v>23</v>
      </c>
      <c r="R7" s="145" t="s">
        <v>24</v>
      </c>
      <c r="S7" s="185" t="s">
        <v>25</v>
      </c>
      <c r="T7" s="187" t="s">
        <v>26</v>
      </c>
      <c r="U7" s="147" t="s">
        <v>27</v>
      </c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9"/>
    </row>
    <row r="8" spans="1:40" ht="15" customHeight="1" x14ac:dyDescent="0.25">
      <c r="A8" s="170"/>
      <c r="B8" s="173"/>
      <c r="C8" s="181"/>
      <c r="D8" s="182"/>
      <c r="E8" s="145"/>
      <c r="F8" s="145"/>
      <c r="G8" s="145"/>
      <c r="H8" s="145"/>
      <c r="I8" s="145"/>
      <c r="J8" s="145"/>
      <c r="K8" s="190"/>
      <c r="L8" s="182"/>
      <c r="M8" s="142"/>
      <c r="N8" s="145"/>
      <c r="O8" s="142"/>
      <c r="P8" s="145"/>
      <c r="Q8" s="145"/>
      <c r="R8" s="145"/>
      <c r="S8" s="185"/>
      <c r="T8" s="188"/>
      <c r="U8" s="141" t="s">
        <v>28</v>
      </c>
      <c r="V8" s="150" t="s">
        <v>29</v>
      </c>
      <c r="W8" s="151"/>
      <c r="X8" s="152"/>
      <c r="Y8" s="141" t="s">
        <v>30</v>
      </c>
      <c r="Z8" s="141" t="s">
        <v>31</v>
      </c>
      <c r="AA8" s="156" t="s">
        <v>32</v>
      </c>
      <c r="AB8" s="159" t="s">
        <v>33</v>
      </c>
      <c r="AC8" s="159" t="s">
        <v>34</v>
      </c>
      <c r="AD8" s="156" t="s">
        <v>35</v>
      </c>
      <c r="AE8" s="156" t="s">
        <v>36</v>
      </c>
      <c r="AF8" s="141" t="s">
        <v>37</v>
      </c>
      <c r="AG8" s="141" t="s">
        <v>38</v>
      </c>
      <c r="AH8" s="141" t="s">
        <v>39</v>
      </c>
      <c r="AI8" s="141" t="s">
        <v>40</v>
      </c>
      <c r="AJ8" s="141" t="s">
        <v>41</v>
      </c>
      <c r="AK8" s="141" t="s">
        <v>42</v>
      </c>
      <c r="AL8" s="135" t="s">
        <v>43</v>
      </c>
    </row>
    <row r="9" spans="1:40" ht="87" customHeight="1" x14ac:dyDescent="0.25">
      <c r="A9" s="170"/>
      <c r="B9" s="173"/>
      <c r="C9" s="183"/>
      <c r="D9" s="184"/>
      <c r="E9" s="146"/>
      <c r="F9" s="146"/>
      <c r="G9" s="146"/>
      <c r="H9" s="146"/>
      <c r="I9" s="146"/>
      <c r="J9" s="146"/>
      <c r="K9" s="191"/>
      <c r="L9" s="184"/>
      <c r="M9" s="144"/>
      <c r="N9" s="146"/>
      <c r="O9" s="144"/>
      <c r="P9" s="146"/>
      <c r="Q9" s="146"/>
      <c r="R9" s="146"/>
      <c r="S9" s="185"/>
      <c r="T9" s="188"/>
      <c r="U9" s="142"/>
      <c r="V9" s="153"/>
      <c r="W9" s="154"/>
      <c r="X9" s="155"/>
      <c r="Y9" s="142"/>
      <c r="Z9" s="142"/>
      <c r="AA9" s="157"/>
      <c r="AB9" s="145"/>
      <c r="AC9" s="145"/>
      <c r="AD9" s="157"/>
      <c r="AE9" s="157"/>
      <c r="AF9" s="142"/>
      <c r="AG9" s="142"/>
      <c r="AH9" s="142"/>
      <c r="AI9" s="142"/>
      <c r="AJ9" s="142"/>
      <c r="AK9" s="142"/>
      <c r="AL9" s="136"/>
    </row>
    <row r="10" spans="1:40" ht="15.75" customHeight="1" thickBot="1" x14ac:dyDescent="0.3">
      <c r="A10" s="171"/>
      <c r="B10" s="174"/>
      <c r="C10" s="6" t="s">
        <v>44</v>
      </c>
      <c r="D10" s="7" t="s">
        <v>45</v>
      </c>
      <c r="E10" s="8" t="s">
        <v>44</v>
      </c>
      <c r="F10" s="8" t="s">
        <v>46</v>
      </c>
      <c r="G10" s="8" t="s">
        <v>44</v>
      </c>
      <c r="H10" s="8" t="s">
        <v>44</v>
      </c>
      <c r="I10" s="8" t="s">
        <v>44</v>
      </c>
      <c r="J10" s="8" t="s">
        <v>46</v>
      </c>
      <c r="K10" s="8" t="s">
        <v>44</v>
      </c>
      <c r="L10" s="8" t="s">
        <v>47</v>
      </c>
      <c r="M10" s="8" t="s">
        <v>44</v>
      </c>
      <c r="N10" s="8" t="s">
        <v>46</v>
      </c>
      <c r="O10" s="8" t="s">
        <v>44</v>
      </c>
      <c r="P10" s="8" t="s">
        <v>46</v>
      </c>
      <c r="Q10" s="8" t="s">
        <v>48</v>
      </c>
      <c r="R10" s="8" t="s">
        <v>44</v>
      </c>
      <c r="S10" s="186"/>
      <c r="T10" s="189"/>
      <c r="U10" s="143"/>
      <c r="V10" s="9" t="s">
        <v>49</v>
      </c>
      <c r="W10" s="9" t="s">
        <v>50</v>
      </c>
      <c r="X10" s="9" t="s">
        <v>51</v>
      </c>
      <c r="Y10" s="143"/>
      <c r="Z10" s="143"/>
      <c r="AA10" s="158"/>
      <c r="AB10" s="160"/>
      <c r="AC10" s="160"/>
      <c r="AD10" s="158"/>
      <c r="AE10" s="158"/>
      <c r="AF10" s="143"/>
      <c r="AG10" s="143"/>
      <c r="AH10" s="143"/>
      <c r="AI10" s="143"/>
      <c r="AJ10" s="143"/>
      <c r="AK10" s="143"/>
      <c r="AL10" s="137"/>
    </row>
    <row r="11" spans="1:40" ht="15.75" thickBot="1" x14ac:dyDescent="0.3">
      <c r="A11" s="10">
        <v>1</v>
      </c>
      <c r="B11" s="11">
        <v>2</v>
      </c>
      <c r="C11" s="138">
        <v>3</v>
      </c>
      <c r="D11" s="139"/>
      <c r="E11" s="12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40">
        <v>10</v>
      </c>
      <c r="L11" s="139"/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3">
        <v>17</v>
      </c>
      <c r="T11" s="10">
        <v>18</v>
      </c>
      <c r="U11" s="12">
        <v>19</v>
      </c>
      <c r="V11" s="14"/>
      <c r="W11" s="14"/>
      <c r="X11" s="14"/>
      <c r="Y11" s="12">
        <v>20</v>
      </c>
      <c r="Z11" s="12">
        <v>21</v>
      </c>
      <c r="AA11" s="15"/>
      <c r="AB11" s="12"/>
      <c r="AC11" s="12"/>
      <c r="AD11" s="15"/>
      <c r="AE11" s="15"/>
      <c r="AF11" s="16"/>
      <c r="AG11" s="16"/>
      <c r="AH11" s="16"/>
      <c r="AI11" s="16"/>
      <c r="AJ11" s="16"/>
      <c r="AK11" s="16"/>
      <c r="AL11" s="13">
        <v>22</v>
      </c>
    </row>
    <row r="12" spans="1:40" ht="15.75" x14ac:dyDescent="0.25">
      <c r="A12" s="113">
        <v>1</v>
      </c>
      <c r="B12" s="115" t="s">
        <v>52</v>
      </c>
      <c r="C12" s="17">
        <v>14</v>
      </c>
      <c r="D12" s="18">
        <v>51.976999999999997</v>
      </c>
      <c r="E12" s="18">
        <v>15</v>
      </c>
      <c r="F12" s="18">
        <v>4235.3900000000003</v>
      </c>
      <c r="G12" s="18">
        <v>8</v>
      </c>
      <c r="H12" s="18">
        <v>38</v>
      </c>
      <c r="I12" s="18">
        <v>51</v>
      </c>
      <c r="J12" s="19">
        <v>169000</v>
      </c>
      <c r="K12" s="18">
        <v>39</v>
      </c>
      <c r="L12" s="18">
        <v>533.1</v>
      </c>
      <c r="M12" s="20"/>
      <c r="N12" s="18">
        <v>1234</v>
      </c>
      <c r="O12" s="18">
        <v>10</v>
      </c>
      <c r="P12" s="18">
        <v>150</v>
      </c>
      <c r="Q12" s="21">
        <v>75</v>
      </c>
      <c r="R12" s="19">
        <v>7</v>
      </c>
      <c r="S12" s="22"/>
      <c r="T12" s="23"/>
      <c r="U12" s="24"/>
      <c r="V12" s="25"/>
      <c r="W12" s="25"/>
      <c r="X12" s="25"/>
      <c r="Y12" s="24"/>
      <c r="Z12" s="24"/>
      <c r="AA12" s="26"/>
      <c r="AB12" s="27"/>
      <c r="AC12" s="27"/>
      <c r="AD12" s="26"/>
      <c r="AE12" s="26"/>
      <c r="AF12" s="28"/>
      <c r="AG12" s="28"/>
      <c r="AH12" s="28"/>
      <c r="AI12" s="28"/>
      <c r="AJ12" s="28"/>
      <c r="AK12" s="28"/>
      <c r="AL12" s="22"/>
    </row>
    <row r="13" spans="1:40" ht="15.75" x14ac:dyDescent="0.25">
      <c r="A13" s="114"/>
      <c r="B13" s="116"/>
      <c r="C13" s="117">
        <v>46.27</v>
      </c>
      <c r="D13" s="118"/>
      <c r="E13" s="29">
        <v>8.36</v>
      </c>
      <c r="F13" s="29">
        <v>261.45</v>
      </c>
      <c r="G13" s="29">
        <v>0.91</v>
      </c>
      <c r="H13" s="29">
        <v>4.26</v>
      </c>
      <c r="I13" s="29">
        <v>1.43</v>
      </c>
      <c r="J13" s="29">
        <v>70.13</v>
      </c>
      <c r="K13" s="119">
        <v>9.1199999999999992</v>
      </c>
      <c r="L13" s="118"/>
      <c r="M13" s="29"/>
      <c r="N13" s="29">
        <v>2.16</v>
      </c>
      <c r="O13" s="29">
        <v>0.05</v>
      </c>
      <c r="P13" s="29">
        <v>0.05</v>
      </c>
      <c r="Q13" s="29">
        <v>296.06</v>
      </c>
      <c r="R13" s="30">
        <v>0.34</v>
      </c>
      <c r="S13" s="31">
        <f>SUM(C13:R13)</f>
        <v>700.59</v>
      </c>
      <c r="T13" s="32">
        <f>U13+Y13+Z13</f>
        <v>771.46500000000015</v>
      </c>
      <c r="U13" s="29">
        <v>75.7</v>
      </c>
      <c r="V13" s="33">
        <f>201.1761+7.9903</f>
        <v>209.16639999999998</v>
      </c>
      <c r="W13" s="33">
        <f>35.2275+4.6574</f>
        <v>39.884900000000002</v>
      </c>
      <c r="X13" s="33">
        <f>96.9318+0.6553</f>
        <v>97.587099999999992</v>
      </c>
      <c r="Y13" s="29">
        <v>56.48</v>
      </c>
      <c r="Z13" s="29">
        <f>AA13+AD13+AE13+AF13</f>
        <v>639.28500000000008</v>
      </c>
      <c r="AA13" s="34">
        <f>AB13+AC13</f>
        <v>276.185</v>
      </c>
      <c r="AB13" s="29">
        <f>[1]финансирование!F31/1000</f>
        <v>46.685000000000002</v>
      </c>
      <c r="AC13" s="29">
        <f>[1]финансирование!G31/1000</f>
        <v>229.5</v>
      </c>
      <c r="AD13" s="34">
        <f>[1]финансирование!H31/1000</f>
        <v>0</v>
      </c>
      <c r="AE13" s="34">
        <f>[1]финансирование!I31/1000</f>
        <v>70</v>
      </c>
      <c r="AF13" s="35">
        <v>293.10000000000002</v>
      </c>
      <c r="AG13" s="35"/>
      <c r="AH13" s="35"/>
      <c r="AI13" s="35"/>
      <c r="AJ13" s="35"/>
      <c r="AK13" s="35"/>
      <c r="AL13" s="36"/>
      <c r="AM13" s="37">
        <f>SUM(AB13:AL13)</f>
        <v>639.28500000000008</v>
      </c>
      <c r="AN13" s="37"/>
    </row>
    <row r="14" spans="1:40" s="83" customFormat="1" ht="15.75" x14ac:dyDescent="0.25">
      <c r="A14" s="128">
        <v>2</v>
      </c>
      <c r="B14" s="130" t="s">
        <v>53</v>
      </c>
      <c r="C14" s="75">
        <v>102</v>
      </c>
      <c r="D14" s="77">
        <v>145.37</v>
      </c>
      <c r="E14" s="77">
        <v>18</v>
      </c>
      <c r="F14" s="77">
        <v>2771</v>
      </c>
      <c r="G14" s="77"/>
      <c r="H14" s="77"/>
      <c r="I14" s="77"/>
      <c r="J14" s="77">
        <v>4068</v>
      </c>
      <c r="K14" s="77"/>
      <c r="L14" s="77">
        <v>1860.5</v>
      </c>
      <c r="M14" s="77"/>
      <c r="N14" s="77">
        <v>8452</v>
      </c>
      <c r="O14" s="77"/>
      <c r="P14" s="77"/>
      <c r="Q14" s="78">
        <v>94.88</v>
      </c>
      <c r="R14" s="77">
        <v>5</v>
      </c>
      <c r="S14" s="79"/>
      <c r="T14" s="80"/>
      <c r="U14" s="81"/>
      <c r="V14" s="81"/>
      <c r="W14" s="81"/>
      <c r="X14" s="81"/>
      <c r="Y14" s="81"/>
      <c r="Z14" s="81"/>
      <c r="AA14" s="81">
        <f t="shared" ref="AA14:AA35" si="0">AB14+AC14</f>
        <v>0</v>
      </c>
      <c r="AB14" s="81"/>
      <c r="AC14" s="81"/>
      <c r="AD14" s="81"/>
      <c r="AE14" s="81"/>
      <c r="AF14" s="82"/>
      <c r="AG14" s="82"/>
      <c r="AH14" s="82"/>
      <c r="AI14" s="82"/>
      <c r="AJ14" s="82"/>
      <c r="AK14" s="82"/>
      <c r="AL14" s="79"/>
    </row>
    <row r="15" spans="1:40" s="83" customFormat="1" ht="15.75" x14ac:dyDescent="0.25">
      <c r="A15" s="129"/>
      <c r="B15" s="131"/>
      <c r="C15" s="132">
        <v>14.099</v>
      </c>
      <c r="D15" s="133"/>
      <c r="E15" s="84">
        <v>29.786000000000001</v>
      </c>
      <c r="F15" s="84">
        <v>48.335000000000001</v>
      </c>
      <c r="G15" s="84"/>
      <c r="H15" s="84"/>
      <c r="I15" s="84"/>
      <c r="J15" s="84">
        <v>14.757300000000001</v>
      </c>
      <c r="K15" s="134">
        <v>22.521000000000001</v>
      </c>
      <c r="L15" s="133"/>
      <c r="M15" s="84"/>
      <c r="N15" s="84">
        <v>15.79</v>
      </c>
      <c r="O15" s="84"/>
      <c r="P15" s="84"/>
      <c r="Q15" s="84">
        <v>91.88</v>
      </c>
      <c r="R15" s="84">
        <v>32.35</v>
      </c>
      <c r="S15" s="85">
        <f>SUM(C15:R15)</f>
        <v>269.51830000000001</v>
      </c>
      <c r="T15" s="86">
        <f>U15+Y15+Z15</f>
        <v>269.5265</v>
      </c>
      <c r="U15" s="84">
        <v>16.434000000000001</v>
      </c>
      <c r="V15" s="84">
        <f>95.9245+2.8892</f>
        <v>98.813699999999997</v>
      </c>
      <c r="W15" s="84">
        <f>8.4659+0.0585</f>
        <v>8.5244</v>
      </c>
      <c r="X15" s="84"/>
      <c r="Y15" s="84">
        <v>168.79900000000001</v>
      </c>
      <c r="Z15" s="84">
        <f>AA15+AD15+AE15</f>
        <v>84.293499999999995</v>
      </c>
      <c r="AA15" s="89">
        <f t="shared" si="0"/>
        <v>0</v>
      </c>
      <c r="AB15" s="84">
        <f>[1]финансирование!F16/1000</f>
        <v>0</v>
      </c>
      <c r="AC15" s="84">
        <f>[1]финансирование!G16/1000</f>
        <v>0</v>
      </c>
      <c r="AD15" s="90">
        <f>[1]финансирование!H16/1000</f>
        <v>84.293499999999995</v>
      </c>
      <c r="AE15" s="90">
        <f>[1]финансирование!I16/1000</f>
        <v>0</v>
      </c>
      <c r="AF15" s="87"/>
      <c r="AG15" s="87"/>
      <c r="AH15" s="87"/>
      <c r="AI15" s="87"/>
      <c r="AJ15" s="87"/>
      <c r="AK15" s="87"/>
      <c r="AL15" s="88"/>
      <c r="AM15" s="91"/>
    </row>
    <row r="16" spans="1:40" s="83" customFormat="1" ht="15.75" x14ac:dyDescent="0.25">
      <c r="A16" s="128">
        <v>3</v>
      </c>
      <c r="B16" s="130" t="s">
        <v>54</v>
      </c>
      <c r="C16" s="75">
        <v>432</v>
      </c>
      <c r="D16" s="76">
        <v>1263.5999999999999</v>
      </c>
      <c r="E16" s="77">
        <v>33</v>
      </c>
      <c r="F16" s="77">
        <v>4400</v>
      </c>
      <c r="G16" s="77">
        <v>1</v>
      </c>
      <c r="H16" s="77"/>
      <c r="I16" s="77">
        <v>1</v>
      </c>
      <c r="J16" s="77">
        <v>8108</v>
      </c>
      <c r="K16" s="77">
        <v>5</v>
      </c>
      <c r="L16" s="77"/>
      <c r="M16" s="77"/>
      <c r="N16" s="77">
        <f>3470+2008</f>
        <v>5478</v>
      </c>
      <c r="O16" s="77"/>
      <c r="P16" s="77"/>
      <c r="Q16" s="78">
        <v>9.86</v>
      </c>
      <c r="R16" s="77">
        <v>4</v>
      </c>
      <c r="S16" s="79"/>
      <c r="T16" s="80"/>
      <c r="U16" s="81"/>
      <c r="V16" s="81"/>
      <c r="W16" s="81"/>
      <c r="X16" s="81"/>
      <c r="Y16" s="81"/>
      <c r="Z16" s="81"/>
      <c r="AA16" s="81">
        <f t="shared" si="0"/>
        <v>0</v>
      </c>
      <c r="AB16" s="81"/>
      <c r="AC16" s="81"/>
      <c r="AD16" s="81"/>
      <c r="AE16" s="81"/>
      <c r="AF16" s="82"/>
      <c r="AG16" s="82"/>
      <c r="AH16" s="82"/>
      <c r="AI16" s="82"/>
      <c r="AJ16" s="82"/>
      <c r="AK16" s="82"/>
      <c r="AL16" s="79"/>
    </row>
    <row r="17" spans="1:40" s="83" customFormat="1" ht="15.75" x14ac:dyDescent="0.25">
      <c r="A17" s="129"/>
      <c r="B17" s="131"/>
      <c r="C17" s="132">
        <v>313.10000000000002</v>
      </c>
      <c r="D17" s="133"/>
      <c r="E17" s="84">
        <v>28.3</v>
      </c>
      <c r="F17" s="84">
        <v>45.5</v>
      </c>
      <c r="G17" s="84">
        <v>2.1</v>
      </c>
      <c r="H17" s="84"/>
      <c r="I17" s="84">
        <v>56.5</v>
      </c>
      <c r="J17" s="84">
        <v>16.600000000000001</v>
      </c>
      <c r="K17" s="134">
        <v>22.6</v>
      </c>
      <c r="L17" s="133"/>
      <c r="M17" s="84"/>
      <c r="N17" s="84">
        <f>3.8+3.3</f>
        <v>7.1</v>
      </c>
      <c r="O17" s="84"/>
      <c r="P17" s="84"/>
      <c r="Q17" s="84">
        <v>131.19999999999999</v>
      </c>
      <c r="R17" s="84">
        <v>10</v>
      </c>
      <c r="S17" s="85">
        <f>SUM(C17:R17)</f>
        <v>633.00000000000011</v>
      </c>
      <c r="T17" s="86">
        <f>U17+Y17+Z17</f>
        <v>723.0927999999999</v>
      </c>
      <c r="U17" s="84">
        <v>90</v>
      </c>
      <c r="V17" s="84">
        <f>0.0209+0.6022+1.5962+2.55+1.241+4.6845+70.8216</f>
        <v>81.516400000000004</v>
      </c>
      <c r="W17" s="84">
        <f>0.0209+0.1534+0.2866+0.547+0.2668+2.7489+5.6702</f>
        <v>9.6937999999999995</v>
      </c>
      <c r="X17" s="84"/>
      <c r="Y17" s="84">
        <v>153.19999999999999</v>
      </c>
      <c r="Z17" s="84">
        <f>AA17+AD17+AE17</f>
        <v>479.89279999999997</v>
      </c>
      <c r="AA17" s="84">
        <f t="shared" si="0"/>
        <v>397.7869</v>
      </c>
      <c r="AB17" s="84">
        <f>[1]финансирование!F29/1000</f>
        <v>310</v>
      </c>
      <c r="AC17" s="84">
        <f>[1]финансирование!G29/1000</f>
        <v>87.786899999999989</v>
      </c>
      <c r="AD17" s="84">
        <f>[1]финансирование!H29/1000</f>
        <v>82.105899999999991</v>
      </c>
      <c r="AE17" s="84">
        <f>[1]финансирование!I29/1000</f>
        <v>0</v>
      </c>
      <c r="AF17" s="87"/>
      <c r="AG17" s="87"/>
      <c r="AH17" s="87"/>
      <c r="AI17" s="87"/>
      <c r="AJ17" s="87"/>
      <c r="AK17" s="87"/>
      <c r="AL17" s="88"/>
    </row>
    <row r="18" spans="1:40" s="83" customFormat="1" ht="15.75" x14ac:dyDescent="0.25">
      <c r="A18" s="128">
        <v>4</v>
      </c>
      <c r="B18" s="130" t="s">
        <v>55</v>
      </c>
      <c r="C18" s="75"/>
      <c r="D18" s="77"/>
      <c r="E18" s="77">
        <v>14</v>
      </c>
      <c r="F18" s="77">
        <v>1479</v>
      </c>
      <c r="G18" s="77"/>
      <c r="H18" s="77">
        <v>7</v>
      </c>
      <c r="I18" s="77">
        <v>21</v>
      </c>
      <c r="J18" s="77">
        <v>1496</v>
      </c>
      <c r="K18" s="77">
        <v>11</v>
      </c>
      <c r="L18" s="77">
        <v>562</v>
      </c>
      <c r="M18" s="76">
        <v>17</v>
      </c>
      <c r="N18" s="77">
        <v>4.45</v>
      </c>
      <c r="O18" s="77"/>
      <c r="P18" s="77"/>
      <c r="Q18" s="78"/>
      <c r="R18" s="77">
        <v>3</v>
      </c>
      <c r="S18" s="79"/>
      <c r="T18" s="80"/>
      <c r="U18" s="81"/>
      <c r="V18" s="81"/>
      <c r="W18" s="81"/>
      <c r="X18" s="81"/>
      <c r="Y18" s="81"/>
      <c r="Z18" s="81"/>
      <c r="AA18" s="81">
        <f t="shared" si="0"/>
        <v>0</v>
      </c>
      <c r="AB18" s="81"/>
      <c r="AC18" s="81"/>
      <c r="AD18" s="81"/>
      <c r="AE18" s="81"/>
      <c r="AF18" s="82"/>
      <c r="AG18" s="82"/>
      <c r="AH18" s="82"/>
      <c r="AI18" s="82"/>
      <c r="AJ18" s="82"/>
      <c r="AK18" s="82"/>
      <c r="AL18" s="79"/>
    </row>
    <row r="19" spans="1:40" s="83" customFormat="1" ht="15.75" x14ac:dyDescent="0.25">
      <c r="A19" s="129"/>
      <c r="B19" s="131"/>
      <c r="C19" s="132"/>
      <c r="D19" s="133"/>
      <c r="E19" s="84">
        <v>6.14</v>
      </c>
      <c r="F19" s="84">
        <v>45.22</v>
      </c>
      <c r="G19" s="84"/>
      <c r="H19" s="84">
        <v>13.55</v>
      </c>
      <c r="I19" s="84">
        <v>4.1100000000000003</v>
      </c>
      <c r="J19" s="84">
        <v>12.38</v>
      </c>
      <c r="K19" s="134">
        <v>16.97</v>
      </c>
      <c r="L19" s="133"/>
      <c r="M19" s="84"/>
      <c r="N19" s="84">
        <v>14.25</v>
      </c>
      <c r="O19" s="84"/>
      <c r="P19" s="84"/>
      <c r="Q19" s="84"/>
      <c r="R19" s="84">
        <v>10.8</v>
      </c>
      <c r="S19" s="85">
        <f>SUM(C19:R19)</f>
        <v>123.41999999999999</v>
      </c>
      <c r="T19" s="86">
        <f>U19+Y19+Z19</f>
        <v>287.12819999999999</v>
      </c>
      <c r="U19" s="84">
        <v>48.71</v>
      </c>
      <c r="V19" s="84">
        <f>23.2833+6.1208+5.0859+1.2477+0.6555+1.0906+7.0962</f>
        <v>44.580000000000013</v>
      </c>
      <c r="W19" s="84">
        <f>2.2817+0.6216+0.4916+0.036+0.1732+0.1568+0.5168</f>
        <v>4.2777000000000003</v>
      </c>
      <c r="X19" s="84">
        <v>0.2399</v>
      </c>
      <c r="Y19" s="92">
        <v>143.49199999999999</v>
      </c>
      <c r="Z19" s="84">
        <f>AA19+AD19+AE19</f>
        <v>94.926200000000009</v>
      </c>
      <c r="AA19" s="84">
        <f t="shared" si="0"/>
        <v>0</v>
      </c>
      <c r="AB19" s="84">
        <f>[1]финансирование!F15/1000</f>
        <v>0</v>
      </c>
      <c r="AC19" s="84">
        <f>[1]финансирование!G15/1000</f>
        <v>0</v>
      </c>
      <c r="AD19" s="84">
        <f>[1]финансирование!H15/1000</f>
        <v>84.228300000000004</v>
      </c>
      <c r="AE19" s="84">
        <f>[1]финансирование!I15/1000</f>
        <v>10.697899999999999</v>
      </c>
      <c r="AF19" s="87"/>
      <c r="AG19" s="87"/>
      <c r="AH19" s="87"/>
      <c r="AI19" s="87"/>
      <c r="AJ19" s="87"/>
      <c r="AK19" s="87"/>
      <c r="AL19" s="88"/>
    </row>
    <row r="20" spans="1:40" s="83" customFormat="1" ht="15.75" x14ac:dyDescent="0.25">
      <c r="A20" s="128">
        <v>5</v>
      </c>
      <c r="B20" s="130" t="s">
        <v>56</v>
      </c>
      <c r="C20" s="75">
        <v>104</v>
      </c>
      <c r="D20" s="77">
        <v>371.95699999999999</v>
      </c>
      <c r="E20" s="76">
        <v>6</v>
      </c>
      <c r="F20" s="77">
        <v>3868</v>
      </c>
      <c r="G20" s="77"/>
      <c r="H20" s="77"/>
      <c r="I20" s="77">
        <v>4</v>
      </c>
      <c r="J20" s="77">
        <v>1890</v>
      </c>
      <c r="K20" s="77">
        <v>37</v>
      </c>
      <c r="L20" s="77">
        <v>763</v>
      </c>
      <c r="M20" s="77"/>
      <c r="N20" s="77">
        <v>13955</v>
      </c>
      <c r="O20" s="77">
        <v>32</v>
      </c>
      <c r="P20" s="77">
        <v>9380</v>
      </c>
      <c r="Q20" s="78"/>
      <c r="R20" s="77">
        <v>13</v>
      </c>
      <c r="S20" s="79"/>
      <c r="T20" s="80"/>
      <c r="U20" s="81"/>
      <c r="V20" s="81"/>
      <c r="W20" s="81"/>
      <c r="X20" s="81"/>
      <c r="Y20" s="81"/>
      <c r="Z20" s="81"/>
      <c r="AA20" s="81">
        <f t="shared" si="0"/>
        <v>0</v>
      </c>
      <c r="AB20" s="81"/>
      <c r="AC20" s="81"/>
      <c r="AD20" s="81"/>
      <c r="AE20" s="81"/>
      <c r="AF20" s="82"/>
      <c r="AG20" s="82"/>
      <c r="AH20" s="82"/>
      <c r="AI20" s="82"/>
      <c r="AJ20" s="82"/>
      <c r="AK20" s="82"/>
      <c r="AL20" s="79"/>
    </row>
    <row r="21" spans="1:40" s="83" customFormat="1" ht="15.75" x14ac:dyDescent="0.25">
      <c r="A21" s="129"/>
      <c r="B21" s="131"/>
      <c r="C21" s="132">
        <v>46.191000000000003</v>
      </c>
      <c r="D21" s="133"/>
      <c r="E21" s="84">
        <v>3.536</v>
      </c>
      <c r="F21" s="84">
        <v>71.492999999999995</v>
      </c>
      <c r="G21" s="84"/>
      <c r="H21" s="84"/>
      <c r="I21" s="84">
        <v>41.145000000000003</v>
      </c>
      <c r="J21" s="84">
        <v>16.710999999999999</v>
      </c>
      <c r="K21" s="134">
        <v>12.506</v>
      </c>
      <c r="L21" s="133"/>
      <c r="M21" s="84"/>
      <c r="N21" s="84">
        <v>68.662999999999997</v>
      </c>
      <c r="O21" s="84">
        <v>385.46899999999999</v>
      </c>
      <c r="P21" s="92">
        <v>0</v>
      </c>
      <c r="Q21" s="84"/>
      <c r="R21" s="84">
        <f>15.575+2.3</f>
        <v>17.875</v>
      </c>
      <c r="S21" s="85">
        <f>SUM(C21:R21)</f>
        <v>663.58899999999994</v>
      </c>
      <c r="T21" s="86">
        <f>U21+Y21+Z21</f>
        <v>533.6952</v>
      </c>
      <c r="U21" s="84">
        <v>67.66</v>
      </c>
      <c r="V21" s="84">
        <f>2.9951+7.8786+30.2913</f>
        <v>41.164999999999999</v>
      </c>
      <c r="W21" s="84">
        <f>0.3306+0.1618+5.6246</f>
        <v>6.117</v>
      </c>
      <c r="X21" s="84">
        <v>4.2050999999999998</v>
      </c>
      <c r="Y21" s="84">
        <v>4.66</v>
      </c>
      <c r="Z21" s="84">
        <f>AA21+AD21+AE21+AG21+AH21</f>
        <v>461.37520000000001</v>
      </c>
      <c r="AA21" s="84">
        <f t="shared" si="0"/>
        <v>61.3748</v>
      </c>
      <c r="AB21" s="84">
        <f>[1]финансирование!F20/1000</f>
        <v>31.3748</v>
      </c>
      <c r="AC21" s="84">
        <f>[1]финансирование!G20/1000</f>
        <v>30</v>
      </c>
      <c r="AD21" s="84">
        <f>[1]финансирование!H20/1000</f>
        <v>43.545199999999994</v>
      </c>
      <c r="AE21" s="84">
        <f>[1]финансирование!I20/1000</f>
        <v>13.479200000000001</v>
      </c>
      <c r="AF21" s="87"/>
      <c r="AG21" s="87">
        <v>47.975999999999999</v>
      </c>
      <c r="AH21" s="87">
        <v>295</v>
      </c>
      <c r="AI21" s="87"/>
      <c r="AJ21" s="87"/>
      <c r="AK21" s="87"/>
      <c r="AL21" s="88"/>
    </row>
    <row r="22" spans="1:40" ht="15.75" x14ac:dyDescent="0.25">
      <c r="A22" s="113">
        <v>6</v>
      </c>
      <c r="B22" s="115" t="s">
        <v>57</v>
      </c>
      <c r="C22" s="17">
        <v>176</v>
      </c>
      <c r="D22" s="18">
        <v>15.6</v>
      </c>
      <c r="E22" s="18">
        <v>14</v>
      </c>
      <c r="F22" s="18">
        <v>1530</v>
      </c>
      <c r="G22" s="20"/>
      <c r="H22" s="18">
        <v>9</v>
      </c>
      <c r="I22" s="18">
        <v>5</v>
      </c>
      <c r="J22" s="18">
        <v>2200</v>
      </c>
      <c r="K22" s="18">
        <v>14</v>
      </c>
      <c r="L22" s="18">
        <v>1200</v>
      </c>
      <c r="M22" s="18">
        <v>17</v>
      </c>
      <c r="N22" s="18">
        <v>3200</v>
      </c>
      <c r="O22" s="20"/>
      <c r="P22" s="20"/>
      <c r="Q22" s="21">
        <v>25.6</v>
      </c>
      <c r="R22" s="18">
        <f>13+23</f>
        <v>36</v>
      </c>
      <c r="S22" s="22"/>
      <c r="T22" s="23"/>
      <c r="U22" s="24"/>
      <c r="V22" s="25"/>
      <c r="W22" s="25"/>
      <c r="X22" s="25"/>
      <c r="Y22" s="24"/>
      <c r="Z22" s="24"/>
      <c r="AA22" s="38">
        <f t="shared" si="0"/>
        <v>0</v>
      </c>
      <c r="AB22" s="24"/>
      <c r="AC22" s="24"/>
      <c r="AD22" s="38"/>
      <c r="AE22" s="38"/>
      <c r="AF22" s="28"/>
      <c r="AG22" s="28"/>
      <c r="AH22" s="28"/>
      <c r="AI22" s="28"/>
      <c r="AJ22" s="28"/>
      <c r="AK22" s="28"/>
      <c r="AL22" s="22"/>
    </row>
    <row r="23" spans="1:40" ht="15.75" x14ac:dyDescent="0.25">
      <c r="A23" s="114"/>
      <c r="B23" s="116"/>
      <c r="C23" s="117">
        <v>79.599999999999994</v>
      </c>
      <c r="D23" s="118"/>
      <c r="E23" s="29">
        <v>34.9</v>
      </c>
      <c r="F23" s="29">
        <v>3.3</v>
      </c>
      <c r="G23" s="29"/>
      <c r="H23" s="29">
        <v>0.1</v>
      </c>
      <c r="I23" s="29">
        <v>0.2</v>
      </c>
      <c r="J23" s="29">
        <v>8.4</v>
      </c>
      <c r="K23" s="119">
        <v>4.5999999999999996</v>
      </c>
      <c r="L23" s="118"/>
      <c r="M23" s="29">
        <v>7.1</v>
      </c>
      <c r="N23" s="29">
        <v>9.6</v>
      </c>
      <c r="O23" s="29"/>
      <c r="P23" s="29"/>
      <c r="Q23" s="29">
        <v>144.5</v>
      </c>
      <c r="R23" s="29">
        <f>22.1+1.4</f>
        <v>23.5</v>
      </c>
      <c r="S23" s="31">
        <f>SUM(C23:R23)</f>
        <v>315.79999999999995</v>
      </c>
      <c r="T23" s="32">
        <f>U23+Y23+Z23</f>
        <v>315.75060000000002</v>
      </c>
      <c r="U23" s="29">
        <v>15.8</v>
      </c>
      <c r="V23" s="33">
        <f>0.7195+1.4094+22.2139+2.776+9.671</f>
        <v>36.7898</v>
      </c>
      <c r="W23" s="33">
        <f>0.356+0.1007+0.056+2.63+0.1937</f>
        <v>3.3364000000000003</v>
      </c>
      <c r="X23" s="33"/>
      <c r="Y23" s="29">
        <v>3.5</v>
      </c>
      <c r="Z23" s="29">
        <f>AA23+AD23+AE23+AI23+AJ23+AK23</f>
        <v>296.45060000000001</v>
      </c>
      <c r="AA23" s="34">
        <f t="shared" si="0"/>
        <v>0</v>
      </c>
      <c r="AB23" s="29">
        <f>[1]финансирование!F21/1000</f>
        <v>0</v>
      </c>
      <c r="AC23" s="29">
        <f>[1]финансирование!G21/1000</f>
        <v>0</v>
      </c>
      <c r="AD23" s="34">
        <f>[1]финансирование!H21/1000</f>
        <v>46.697400000000002</v>
      </c>
      <c r="AE23" s="34">
        <f>[1]финансирование!I21/1000</f>
        <v>22.0532</v>
      </c>
      <c r="AF23" s="35"/>
      <c r="AG23" s="35"/>
      <c r="AH23" s="35"/>
      <c r="AI23" s="35">
        <v>66.599999999999994</v>
      </c>
      <c r="AJ23" s="35">
        <v>154.1</v>
      </c>
      <c r="AK23" s="35">
        <v>7</v>
      </c>
      <c r="AL23" s="36"/>
      <c r="AN23" s="40"/>
    </row>
    <row r="24" spans="1:40" ht="15.75" x14ac:dyDescent="0.25">
      <c r="A24" s="113">
        <v>7</v>
      </c>
      <c r="B24" s="115" t="s">
        <v>58</v>
      </c>
      <c r="C24" s="17">
        <v>158</v>
      </c>
      <c r="D24" s="18">
        <v>215</v>
      </c>
      <c r="E24" s="18">
        <v>9</v>
      </c>
      <c r="F24" s="18">
        <v>636</v>
      </c>
      <c r="G24" s="18">
        <v>2</v>
      </c>
      <c r="H24" s="18">
        <v>10</v>
      </c>
      <c r="I24" s="18">
        <v>1</v>
      </c>
      <c r="J24" s="18">
        <v>4170</v>
      </c>
      <c r="K24" s="18">
        <v>10</v>
      </c>
      <c r="L24" s="18">
        <v>162</v>
      </c>
      <c r="M24" s="18">
        <v>9</v>
      </c>
      <c r="N24" s="18">
        <f>29680+4400</f>
        <v>34080</v>
      </c>
      <c r="O24" s="18">
        <v>11</v>
      </c>
      <c r="P24" s="18">
        <v>12439</v>
      </c>
      <c r="Q24" s="21">
        <v>21.5</v>
      </c>
      <c r="R24" s="20"/>
      <c r="S24" s="22"/>
      <c r="T24" s="23"/>
      <c r="U24" s="24"/>
      <c r="V24" s="25"/>
      <c r="W24" s="25"/>
      <c r="X24" s="25"/>
      <c r="Y24" s="24"/>
      <c r="Z24" s="24"/>
      <c r="AA24" s="38">
        <f t="shared" si="0"/>
        <v>0</v>
      </c>
      <c r="AB24" s="24"/>
      <c r="AC24" s="24"/>
      <c r="AD24" s="38"/>
      <c r="AE24" s="38"/>
      <c r="AF24" s="28"/>
      <c r="AG24" s="28"/>
      <c r="AH24" s="28"/>
      <c r="AI24" s="28"/>
      <c r="AJ24" s="28"/>
      <c r="AK24" s="28"/>
      <c r="AL24" s="22"/>
    </row>
    <row r="25" spans="1:40" ht="15.75" x14ac:dyDescent="0.25">
      <c r="A25" s="114"/>
      <c r="B25" s="116"/>
      <c r="C25" s="117">
        <f>7.76+13.54</f>
        <v>21.299999999999997</v>
      </c>
      <c r="D25" s="118"/>
      <c r="E25" s="29">
        <v>6.13</v>
      </c>
      <c r="F25" s="29">
        <v>9.35</v>
      </c>
      <c r="G25" s="29">
        <v>0.11600000000000001</v>
      </c>
      <c r="H25" s="29">
        <v>5.1260000000000003</v>
      </c>
      <c r="I25" s="29">
        <v>0.09</v>
      </c>
      <c r="J25" s="29">
        <v>20.05</v>
      </c>
      <c r="K25" s="119">
        <v>0.2</v>
      </c>
      <c r="L25" s="118"/>
      <c r="M25" s="29">
        <v>13.117000000000001</v>
      </c>
      <c r="N25" s="29">
        <f>4.82+6.5</f>
        <v>11.32</v>
      </c>
      <c r="O25" s="29">
        <v>78.356999999999999</v>
      </c>
      <c r="P25" s="29">
        <v>0.26</v>
      </c>
      <c r="Q25" s="29">
        <v>154.25899999999999</v>
      </c>
      <c r="R25" s="29"/>
      <c r="S25" s="31">
        <f>SUM(C25:R25)</f>
        <v>319.67499999999995</v>
      </c>
      <c r="T25" s="32">
        <f>U25+Y25+Z25</f>
        <v>312.90879999999999</v>
      </c>
      <c r="U25" s="29">
        <v>88.13</v>
      </c>
      <c r="V25" s="33">
        <v>10.9322</v>
      </c>
      <c r="W25" s="33">
        <v>1.0182</v>
      </c>
      <c r="X25" s="33"/>
      <c r="Y25" s="29">
        <v>163.61000000000001</v>
      </c>
      <c r="Z25" s="29">
        <f>AA25+AD25+AE25+AK25+AG25</f>
        <v>61.168799999999997</v>
      </c>
      <c r="AA25" s="34">
        <f t="shared" si="0"/>
        <v>13.5398</v>
      </c>
      <c r="AB25" s="29">
        <f>[1]финансирование!F14/1000</f>
        <v>13.5398</v>
      </c>
      <c r="AC25" s="29">
        <f>[1]финансирование!G14/1000</f>
        <v>0</v>
      </c>
      <c r="AD25" s="34">
        <f>[1]финансирование!H14/1000</f>
        <v>31.893000000000001</v>
      </c>
      <c r="AE25" s="34">
        <f>[1]финансирование!I14/1000</f>
        <v>0</v>
      </c>
      <c r="AF25" s="35"/>
      <c r="AG25" s="35">
        <v>3.8260000000000001</v>
      </c>
      <c r="AH25" s="35"/>
      <c r="AI25" s="35"/>
      <c r="AJ25" s="35"/>
      <c r="AK25" s="35">
        <v>11.91</v>
      </c>
      <c r="AL25" s="36"/>
    </row>
    <row r="26" spans="1:40" ht="15.75" x14ac:dyDescent="0.25">
      <c r="A26" s="113">
        <v>8</v>
      </c>
      <c r="B26" s="115" t="s">
        <v>59</v>
      </c>
      <c r="C26" s="17">
        <v>186</v>
      </c>
      <c r="D26" s="18">
        <v>251</v>
      </c>
      <c r="E26" s="18">
        <v>6</v>
      </c>
      <c r="F26" s="18">
        <v>1153.9000000000001</v>
      </c>
      <c r="G26" s="20"/>
      <c r="H26" s="18">
        <v>2</v>
      </c>
      <c r="I26" s="18">
        <v>1</v>
      </c>
      <c r="J26" s="18">
        <v>806</v>
      </c>
      <c r="K26" s="18">
        <v>2</v>
      </c>
      <c r="L26" s="18">
        <v>455</v>
      </c>
      <c r="M26" s="18">
        <v>12</v>
      </c>
      <c r="N26" s="18">
        <v>8400</v>
      </c>
      <c r="O26" s="20"/>
      <c r="P26" s="20"/>
      <c r="Q26" s="21">
        <v>20</v>
      </c>
      <c r="R26" s="18">
        <f>13</f>
        <v>13</v>
      </c>
      <c r="S26" s="22"/>
      <c r="T26" s="23"/>
      <c r="U26" s="24"/>
      <c r="V26" s="25"/>
      <c r="W26" s="25"/>
      <c r="X26" s="25"/>
      <c r="Y26" s="24"/>
      <c r="Z26" s="24"/>
      <c r="AA26" s="38">
        <f t="shared" si="0"/>
        <v>0</v>
      </c>
      <c r="AB26" s="24"/>
      <c r="AC26" s="24"/>
      <c r="AD26" s="38"/>
      <c r="AE26" s="38"/>
      <c r="AF26" s="28"/>
      <c r="AG26" s="28"/>
      <c r="AH26" s="28"/>
      <c r="AI26" s="28"/>
      <c r="AJ26" s="28"/>
      <c r="AK26" s="28"/>
      <c r="AL26" s="22"/>
    </row>
    <row r="27" spans="1:40" ht="15.75" x14ac:dyDescent="0.25">
      <c r="A27" s="114"/>
      <c r="B27" s="116"/>
      <c r="C27" s="117">
        <v>13.337</v>
      </c>
      <c r="D27" s="118"/>
      <c r="E27" s="29">
        <v>27.811</v>
      </c>
      <c r="F27" s="29">
        <v>25.760999999999999</v>
      </c>
      <c r="G27" s="29"/>
      <c r="H27" s="29">
        <v>3.1389999999999998</v>
      </c>
      <c r="I27" s="29">
        <v>0.499</v>
      </c>
      <c r="J27" s="29">
        <v>5.87</v>
      </c>
      <c r="K27" s="119">
        <f>3.611+5.598</f>
        <v>9.2089999999999996</v>
      </c>
      <c r="L27" s="118"/>
      <c r="M27" s="29">
        <v>0.81699999999999995</v>
      </c>
      <c r="N27" s="29">
        <v>6.5</v>
      </c>
      <c r="O27" s="29"/>
      <c r="P27" s="29"/>
      <c r="Q27" s="29">
        <v>100.8</v>
      </c>
      <c r="R27" s="29">
        <v>1</v>
      </c>
      <c r="S27" s="31">
        <f>SUM(C27:R27)</f>
        <v>194.74299999999999</v>
      </c>
      <c r="T27" s="32">
        <f>U27+Y27+Z27</f>
        <v>194.7423</v>
      </c>
      <c r="U27" s="29">
        <v>54.902000000000001</v>
      </c>
      <c r="V27" s="33">
        <f>1.0872+41.233+5.2523</f>
        <v>47.572499999999998</v>
      </c>
      <c r="W27" s="33">
        <f>0.205+2.3366+1.4615</f>
        <v>4.0030999999999999</v>
      </c>
      <c r="X27" s="33">
        <v>5.7393999999999998</v>
      </c>
      <c r="Y27" s="29">
        <v>107.625</v>
      </c>
      <c r="Z27" s="29">
        <f>AA27+AD27+AE27</f>
        <v>32.215299999999999</v>
      </c>
      <c r="AA27" s="34">
        <f t="shared" si="0"/>
        <v>2.9765000000000001</v>
      </c>
      <c r="AB27" s="29">
        <f>[1]финансирование!F32/1000</f>
        <v>2.9765000000000001</v>
      </c>
      <c r="AC27" s="29">
        <f>[1]финансирование!G32/1000</f>
        <v>0</v>
      </c>
      <c r="AD27" s="34">
        <f>[1]финансирование!H32/1000</f>
        <v>29.238799999999998</v>
      </c>
      <c r="AE27" s="34">
        <f>[1]финансирование!I32/1000</f>
        <v>0</v>
      </c>
      <c r="AF27" s="35"/>
      <c r="AG27" s="35"/>
      <c r="AH27" s="35"/>
      <c r="AI27" s="35"/>
      <c r="AJ27" s="35"/>
      <c r="AK27" s="35"/>
      <c r="AL27" s="36"/>
      <c r="AM27" s="37"/>
    </row>
    <row r="28" spans="1:40" ht="15.75" x14ac:dyDescent="0.25">
      <c r="A28" s="113">
        <v>9</v>
      </c>
      <c r="B28" s="122" t="s">
        <v>60</v>
      </c>
      <c r="C28" s="17">
        <v>71</v>
      </c>
      <c r="D28" s="18">
        <v>8.7100000000000009</v>
      </c>
      <c r="E28" s="18">
        <v>29</v>
      </c>
      <c r="F28" s="19">
        <v>21250</v>
      </c>
      <c r="G28" s="20"/>
      <c r="H28" s="18">
        <v>14</v>
      </c>
      <c r="I28" s="20"/>
      <c r="J28" s="19">
        <v>78300</v>
      </c>
      <c r="K28" s="19">
        <v>6</v>
      </c>
      <c r="L28" s="19">
        <v>25900</v>
      </c>
      <c r="M28" s="18">
        <v>34</v>
      </c>
      <c r="N28" s="19">
        <f>48000+45000</f>
        <v>93000</v>
      </c>
      <c r="O28" s="18">
        <v>22</v>
      </c>
      <c r="P28" s="20"/>
      <c r="Q28" s="21">
        <v>8.1</v>
      </c>
      <c r="R28" s="20"/>
      <c r="S28" s="22"/>
      <c r="T28" s="23"/>
      <c r="U28" s="24"/>
      <c r="V28" s="25"/>
      <c r="W28" s="25"/>
      <c r="X28" s="25"/>
      <c r="Y28" s="24"/>
      <c r="Z28" s="24"/>
      <c r="AA28" s="38">
        <f t="shared" si="0"/>
        <v>0</v>
      </c>
      <c r="AB28" s="24"/>
      <c r="AC28" s="24"/>
      <c r="AD28" s="38"/>
      <c r="AE28" s="38"/>
      <c r="AF28" s="28"/>
      <c r="AG28" s="28"/>
      <c r="AH28" s="28"/>
      <c r="AI28" s="28"/>
      <c r="AJ28" s="28"/>
      <c r="AK28" s="28"/>
      <c r="AL28" s="22"/>
    </row>
    <row r="29" spans="1:40" ht="15.75" x14ac:dyDescent="0.25">
      <c r="A29" s="114"/>
      <c r="B29" s="123"/>
      <c r="C29" s="117">
        <v>34.149000000000001</v>
      </c>
      <c r="D29" s="118"/>
      <c r="E29" s="29">
        <v>9.34</v>
      </c>
      <c r="F29" s="29">
        <v>18.856000000000002</v>
      </c>
      <c r="G29" s="29"/>
      <c r="H29" s="29">
        <v>0.53</v>
      </c>
      <c r="I29" s="29"/>
      <c r="J29" s="30">
        <v>25.975000000000001</v>
      </c>
      <c r="K29" s="126">
        <f>321.26+0.52</f>
        <v>321.77999999999997</v>
      </c>
      <c r="L29" s="125"/>
      <c r="M29" s="29">
        <v>0.35</v>
      </c>
      <c r="N29" s="29">
        <f>3.65+0.8</f>
        <v>4.45</v>
      </c>
      <c r="O29" s="29">
        <v>0.25</v>
      </c>
      <c r="P29" s="29"/>
      <c r="Q29" s="29">
        <v>38.799999999999997</v>
      </c>
      <c r="R29" s="29"/>
      <c r="S29" s="31">
        <f>SUM(C29:R29)</f>
        <v>454.48</v>
      </c>
      <c r="T29" s="32">
        <f>U29+Y29+Z29</f>
        <v>114.9102</v>
      </c>
      <c r="U29" s="29">
        <v>5.04</v>
      </c>
      <c r="V29" s="33">
        <f>41.2408</f>
        <v>41.2408</v>
      </c>
      <c r="W29" s="33">
        <f>2.9719</f>
        <v>2.9719000000000002</v>
      </c>
      <c r="X29" s="33"/>
      <c r="Y29" s="29">
        <v>48.07</v>
      </c>
      <c r="Z29" s="29">
        <f>AA29+AD29+AE29</f>
        <v>61.800200000000004</v>
      </c>
      <c r="AA29" s="34">
        <f t="shared" si="0"/>
        <v>33.808</v>
      </c>
      <c r="AB29" s="29">
        <f>[1]финансирование!F25/1000</f>
        <v>33.808</v>
      </c>
      <c r="AC29" s="29">
        <f>[1]финансирование!G25/1000</f>
        <v>0</v>
      </c>
      <c r="AD29" s="34">
        <f>[1]финансирование!H25/1000</f>
        <v>27.9922</v>
      </c>
      <c r="AE29" s="34">
        <f>[1]финансирование!I25/1000</f>
        <v>0</v>
      </c>
      <c r="AF29" s="35"/>
      <c r="AG29" s="35"/>
      <c r="AH29" s="35"/>
      <c r="AI29" s="35"/>
      <c r="AJ29" s="35"/>
      <c r="AK29" s="35"/>
      <c r="AL29" s="36"/>
      <c r="AM29" s="37"/>
    </row>
    <row r="30" spans="1:40" ht="15.75" x14ac:dyDescent="0.25">
      <c r="A30" s="113">
        <v>10</v>
      </c>
      <c r="B30" s="122" t="s">
        <v>61</v>
      </c>
      <c r="C30" s="17">
        <v>3</v>
      </c>
      <c r="D30" s="20"/>
      <c r="E30" s="18">
        <v>17</v>
      </c>
      <c r="F30" s="41"/>
      <c r="G30" s="41"/>
      <c r="H30" s="41"/>
      <c r="I30" s="18">
        <v>3</v>
      </c>
      <c r="J30" s="18">
        <v>1360</v>
      </c>
      <c r="K30" s="18">
        <v>1</v>
      </c>
      <c r="L30" s="20"/>
      <c r="M30" s="41"/>
      <c r="N30" s="41"/>
      <c r="O30" s="41"/>
      <c r="P30" s="20"/>
      <c r="Q30" s="39"/>
      <c r="R30" s="18">
        <v>1</v>
      </c>
      <c r="S30" s="22"/>
      <c r="T30" s="23"/>
      <c r="U30" s="24"/>
      <c r="V30" s="25"/>
      <c r="W30" s="25"/>
      <c r="X30" s="25"/>
      <c r="Y30" s="24"/>
      <c r="Z30" s="24"/>
      <c r="AA30" s="38">
        <f t="shared" si="0"/>
        <v>0</v>
      </c>
      <c r="AB30" s="24"/>
      <c r="AC30" s="24"/>
      <c r="AD30" s="38"/>
      <c r="AE30" s="38"/>
      <c r="AF30" s="28"/>
      <c r="AG30" s="28"/>
      <c r="AH30" s="28"/>
      <c r="AI30" s="28"/>
      <c r="AJ30" s="28"/>
      <c r="AK30" s="28"/>
      <c r="AL30" s="22"/>
    </row>
    <row r="31" spans="1:40" ht="15.75" x14ac:dyDescent="0.25">
      <c r="A31" s="114"/>
      <c r="B31" s="123"/>
      <c r="C31" s="117">
        <v>1.3</v>
      </c>
      <c r="D31" s="118"/>
      <c r="E31" s="29">
        <v>11.33</v>
      </c>
      <c r="F31" s="30"/>
      <c r="G31" s="30"/>
      <c r="H31" s="30"/>
      <c r="I31" s="29">
        <v>4.0999999999999996</v>
      </c>
      <c r="J31" s="29">
        <v>11.45</v>
      </c>
      <c r="K31" s="119">
        <v>1.36</v>
      </c>
      <c r="L31" s="118"/>
      <c r="M31" s="29"/>
      <c r="N31" s="29"/>
      <c r="O31" s="29"/>
      <c r="P31" s="29"/>
      <c r="Q31" s="29"/>
      <c r="R31" s="29">
        <v>13</v>
      </c>
      <c r="S31" s="31">
        <f>SUM(C31:R31)</f>
        <v>42.54</v>
      </c>
      <c r="T31" s="32">
        <f>U31+Y31+Z31</f>
        <v>42.574099999999994</v>
      </c>
      <c r="U31" s="29">
        <v>1.74</v>
      </c>
      <c r="V31" s="33">
        <v>28.5383</v>
      </c>
      <c r="W31" s="33">
        <v>1.8917999999999999</v>
      </c>
      <c r="X31" s="33"/>
      <c r="Y31" s="29">
        <v>1.7</v>
      </c>
      <c r="Z31" s="29">
        <f>AA31+AD31+AE31</f>
        <v>39.134099999999997</v>
      </c>
      <c r="AA31" s="34">
        <f t="shared" si="0"/>
        <v>0</v>
      </c>
      <c r="AB31" s="29">
        <f>[1]финансирование!F23/1000</f>
        <v>0</v>
      </c>
      <c r="AC31" s="29">
        <f>[1]финансирование!G23/1000</f>
        <v>0</v>
      </c>
      <c r="AD31" s="34">
        <f>[1]финансирование!H23/1000</f>
        <v>26.140799999999999</v>
      </c>
      <c r="AE31" s="34">
        <f>[1]финансирование!I23/1000</f>
        <v>12.9933</v>
      </c>
      <c r="AF31" s="35"/>
      <c r="AG31" s="35"/>
      <c r="AH31" s="35"/>
      <c r="AI31" s="35"/>
      <c r="AJ31" s="35"/>
      <c r="AK31" s="35"/>
      <c r="AL31" s="36"/>
    </row>
    <row r="32" spans="1:40" ht="15.75" x14ac:dyDescent="0.25">
      <c r="A32" s="114">
        <v>11</v>
      </c>
      <c r="B32" s="127" t="s">
        <v>62</v>
      </c>
      <c r="C32" s="42">
        <f>170+2</f>
        <v>172</v>
      </c>
      <c r="D32" s="43">
        <f>209.5+1.36</f>
        <v>210.86</v>
      </c>
      <c r="E32" s="43">
        <v>11</v>
      </c>
      <c r="F32" s="43">
        <v>3006</v>
      </c>
      <c r="G32" s="43">
        <v>5</v>
      </c>
      <c r="H32" s="43">
        <v>7</v>
      </c>
      <c r="I32" s="43">
        <v>8</v>
      </c>
      <c r="J32" s="43">
        <v>2700</v>
      </c>
      <c r="K32" s="43">
        <v>10</v>
      </c>
      <c r="L32" s="43">
        <v>460</v>
      </c>
      <c r="M32" s="43">
        <v>27</v>
      </c>
      <c r="N32" s="43">
        <f>2650+23100</f>
        <v>25750</v>
      </c>
      <c r="O32" s="43">
        <v>38</v>
      </c>
      <c r="P32" s="44"/>
      <c r="Q32" s="45">
        <v>12.8</v>
      </c>
      <c r="R32" s="43">
        <f>36</f>
        <v>36</v>
      </c>
      <c r="S32" s="46"/>
      <c r="T32" s="47"/>
      <c r="U32" s="27"/>
      <c r="V32" s="48"/>
      <c r="W32" s="48"/>
      <c r="X32" s="48"/>
      <c r="Y32" s="27"/>
      <c r="Z32" s="27"/>
      <c r="AA32" s="38">
        <f t="shared" si="0"/>
        <v>0</v>
      </c>
      <c r="AB32" s="24"/>
      <c r="AC32" s="24"/>
      <c r="AD32" s="38"/>
      <c r="AE32" s="38"/>
      <c r="AF32" s="49"/>
      <c r="AG32" s="49"/>
      <c r="AH32" s="49"/>
      <c r="AI32" s="49"/>
      <c r="AJ32" s="49"/>
      <c r="AK32" s="49"/>
      <c r="AL32" s="46"/>
    </row>
    <row r="33" spans="1:40" ht="15.75" x14ac:dyDescent="0.25">
      <c r="A33" s="114"/>
      <c r="B33" s="123"/>
      <c r="C33" s="124">
        <f>3.3+2.345</f>
        <v>5.6449999999999996</v>
      </c>
      <c r="D33" s="125"/>
      <c r="E33" s="29">
        <v>18.79</v>
      </c>
      <c r="F33" s="29">
        <v>19.23</v>
      </c>
      <c r="G33" s="29">
        <v>0.59799999999999998</v>
      </c>
      <c r="H33" s="29">
        <v>0.15</v>
      </c>
      <c r="I33" s="29">
        <v>0.08</v>
      </c>
      <c r="J33" s="29">
        <v>11.069000000000001</v>
      </c>
      <c r="K33" s="119">
        <v>2.7469999999999999</v>
      </c>
      <c r="L33" s="118"/>
      <c r="M33" s="29">
        <f>36.47+36.47</f>
        <v>72.94</v>
      </c>
      <c r="N33" s="29">
        <f>10.617+1.54+4.189</f>
        <v>16.346</v>
      </c>
      <c r="O33" s="29">
        <v>1.7</v>
      </c>
      <c r="P33" s="29"/>
      <c r="Q33" s="29">
        <v>38.564</v>
      </c>
      <c r="R33" s="29">
        <f>32.251+0.81</f>
        <v>33.061</v>
      </c>
      <c r="S33" s="31">
        <f>SUM(C33:R33)</f>
        <v>220.92</v>
      </c>
      <c r="T33" s="32">
        <f>U33+Y33+Z33</f>
        <v>169.68509999999998</v>
      </c>
      <c r="U33" s="29">
        <v>11.416</v>
      </c>
      <c r="V33" s="33">
        <f>0.3198+2.4443+30.5088+0.6354</f>
        <v>33.908299999999997</v>
      </c>
      <c r="W33" s="33">
        <v>6.2355400000000003</v>
      </c>
      <c r="X33" s="33"/>
      <c r="Y33" s="29">
        <v>41.116999999999997</v>
      </c>
      <c r="Z33" s="29">
        <f>AA33+AD33+AE33+AK33+AG33</f>
        <v>117.15209999999999</v>
      </c>
      <c r="AA33" s="34">
        <f t="shared" si="0"/>
        <v>12.3217</v>
      </c>
      <c r="AB33" s="29">
        <f>[1]финансирование!F13/1000</f>
        <v>2.3216999999999999</v>
      </c>
      <c r="AC33" s="29">
        <f>[1]финансирование!G13/1000</f>
        <v>10</v>
      </c>
      <c r="AD33" s="34">
        <f>[1]финансирование!H13/1000</f>
        <v>41.920099999999998</v>
      </c>
      <c r="AE33" s="34">
        <f>[1]финансирование!I13/1000</f>
        <v>22.251300000000001</v>
      </c>
      <c r="AF33" s="35"/>
      <c r="AG33" s="35">
        <v>4.1890000000000001</v>
      </c>
      <c r="AH33" s="35"/>
      <c r="AI33" s="35"/>
      <c r="AJ33" s="35"/>
      <c r="AK33" s="35">
        <v>36.47</v>
      </c>
      <c r="AL33" s="36"/>
      <c r="AM33" s="37"/>
    </row>
    <row r="34" spans="1:40" ht="15.75" x14ac:dyDescent="0.25">
      <c r="A34" s="113">
        <v>12</v>
      </c>
      <c r="B34" s="115" t="s">
        <v>63</v>
      </c>
      <c r="C34" s="17">
        <v>152</v>
      </c>
      <c r="D34" s="18">
        <v>164.22</v>
      </c>
      <c r="E34" s="18">
        <v>13</v>
      </c>
      <c r="F34" s="18">
        <v>2041.8</v>
      </c>
      <c r="G34" s="20"/>
      <c r="H34" s="18">
        <v>3</v>
      </c>
      <c r="I34" s="18">
        <v>1</v>
      </c>
      <c r="J34" s="18">
        <v>630</v>
      </c>
      <c r="K34" s="18">
        <v>16</v>
      </c>
      <c r="L34" s="18">
        <v>0</v>
      </c>
      <c r="M34" s="18">
        <v>20</v>
      </c>
      <c r="N34" s="18">
        <f>920+21</f>
        <v>941</v>
      </c>
      <c r="O34" s="18">
        <v>71</v>
      </c>
      <c r="P34" s="20"/>
      <c r="Q34" s="21">
        <v>8.26</v>
      </c>
      <c r="R34" s="20"/>
      <c r="S34" s="22"/>
      <c r="T34" s="23"/>
      <c r="U34" s="24"/>
      <c r="V34" s="25"/>
      <c r="W34" s="25"/>
      <c r="X34" s="25"/>
      <c r="Y34" s="24"/>
      <c r="Z34" s="24"/>
      <c r="AA34" s="38">
        <f t="shared" si="0"/>
        <v>0</v>
      </c>
      <c r="AB34" s="24"/>
      <c r="AC34" s="24"/>
      <c r="AD34" s="38"/>
      <c r="AE34" s="38"/>
      <c r="AF34" s="28"/>
      <c r="AG34" s="28"/>
      <c r="AH34" s="28"/>
      <c r="AI34" s="28"/>
      <c r="AJ34" s="28"/>
      <c r="AK34" s="28"/>
      <c r="AL34" s="22"/>
    </row>
    <row r="35" spans="1:40" ht="15.75" x14ac:dyDescent="0.25">
      <c r="A35" s="114"/>
      <c r="B35" s="116"/>
      <c r="C35" s="117">
        <v>35.81</v>
      </c>
      <c r="D35" s="118"/>
      <c r="E35" s="29">
        <v>24.15</v>
      </c>
      <c r="F35" s="29">
        <v>32.35</v>
      </c>
      <c r="G35" s="29"/>
      <c r="H35" s="29">
        <v>1.44</v>
      </c>
      <c r="I35" s="29">
        <v>3.28</v>
      </c>
      <c r="J35" s="29">
        <v>9.48</v>
      </c>
      <c r="K35" s="119">
        <v>0.99</v>
      </c>
      <c r="L35" s="118"/>
      <c r="M35" s="29">
        <v>0.14000000000000001</v>
      </c>
      <c r="N35" s="29">
        <f>10.04+6.17+0.9</f>
        <v>17.11</v>
      </c>
      <c r="O35" s="29">
        <v>0.06</v>
      </c>
      <c r="P35" s="29"/>
      <c r="Q35" s="29">
        <v>100.6</v>
      </c>
      <c r="R35" s="29"/>
      <c r="S35" s="31">
        <f>SUM(C35:R35)</f>
        <v>225.41</v>
      </c>
      <c r="T35" s="32">
        <f>U35+Y35+Z35</f>
        <v>224.64260000000002</v>
      </c>
      <c r="U35" s="29">
        <v>69.14</v>
      </c>
      <c r="V35" s="33">
        <f>30.6736+1.2404</f>
        <v>31.914000000000001</v>
      </c>
      <c r="W35" s="33">
        <f>1.312+0.0782</f>
        <v>1.3902000000000001</v>
      </c>
      <c r="X35" s="33"/>
      <c r="Y35" s="29">
        <v>32.950000000000003</v>
      </c>
      <c r="Z35" s="29">
        <f>AA35+AD35+AE35+AJ35+AG35</f>
        <v>122.5526</v>
      </c>
      <c r="AA35" s="34">
        <f t="shared" si="0"/>
        <v>26.176500000000001</v>
      </c>
      <c r="AB35" s="29">
        <f>[1]финансирование!F19/1000</f>
        <v>20.8765</v>
      </c>
      <c r="AC35" s="29">
        <f>[1]финансирование!G19/1000</f>
        <v>5.3</v>
      </c>
      <c r="AD35" s="34">
        <f>[1]финансирование!H19/1000</f>
        <v>21.176099999999998</v>
      </c>
      <c r="AE35" s="34">
        <f>[1]финансирование!I19/1000</f>
        <v>0</v>
      </c>
      <c r="AF35" s="35"/>
      <c r="AG35" s="35">
        <v>0.9</v>
      </c>
      <c r="AH35" s="35"/>
      <c r="AI35" s="35"/>
      <c r="AJ35" s="35">
        <v>74.3</v>
      </c>
      <c r="AK35" s="35"/>
      <c r="AL35" s="36"/>
      <c r="AM35" s="50"/>
    </row>
    <row r="36" spans="1:40" ht="15.75" x14ac:dyDescent="0.25">
      <c r="A36" s="113">
        <v>13</v>
      </c>
      <c r="B36" s="122" t="s">
        <v>64</v>
      </c>
      <c r="C36" s="17"/>
      <c r="D36" s="18"/>
      <c r="E36" s="18">
        <v>13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21"/>
      <c r="R36" s="18"/>
      <c r="S36" s="22"/>
      <c r="T36" s="23"/>
      <c r="U36" s="24"/>
      <c r="V36" s="25"/>
      <c r="W36" s="25"/>
      <c r="X36" s="25"/>
      <c r="Y36" s="24"/>
      <c r="Z36" s="24"/>
      <c r="AA36" s="38">
        <f t="shared" ref="AA36:AA51" si="1">AB36+AC36</f>
        <v>0</v>
      </c>
      <c r="AB36" s="24"/>
      <c r="AC36" s="24"/>
      <c r="AD36" s="38"/>
      <c r="AE36" s="38"/>
      <c r="AF36" s="28"/>
      <c r="AG36" s="28"/>
      <c r="AH36" s="28"/>
      <c r="AI36" s="28"/>
      <c r="AJ36" s="28"/>
      <c r="AK36" s="28"/>
      <c r="AL36" s="22"/>
    </row>
    <row r="37" spans="1:40" ht="15.75" x14ac:dyDescent="0.25">
      <c r="A37" s="114"/>
      <c r="B37" s="123"/>
      <c r="C37" s="117"/>
      <c r="D37" s="118"/>
      <c r="E37" s="29"/>
      <c r="F37" s="29"/>
      <c r="G37" s="29"/>
      <c r="H37" s="29"/>
      <c r="I37" s="29"/>
      <c r="J37" s="29"/>
      <c r="K37" s="119"/>
      <c r="L37" s="118"/>
      <c r="M37" s="29"/>
      <c r="N37" s="29"/>
      <c r="O37" s="29"/>
      <c r="P37" s="29"/>
      <c r="Q37" s="29"/>
      <c r="R37" s="29"/>
      <c r="S37" s="31">
        <f>SUM(C37:R37)</f>
        <v>0</v>
      </c>
      <c r="T37" s="32">
        <f>U37+Y37+Z37</f>
        <v>48.414899999999996</v>
      </c>
      <c r="U37" s="51">
        <v>2.29</v>
      </c>
      <c r="V37" s="33">
        <v>47.511400000000002</v>
      </c>
      <c r="W37" s="33">
        <f>2.2876</f>
        <v>2.2875999999999999</v>
      </c>
      <c r="X37" s="33"/>
      <c r="Y37" s="29"/>
      <c r="Z37" s="29">
        <f>AA37+AD37+AE37</f>
        <v>46.124899999999997</v>
      </c>
      <c r="AA37" s="34">
        <f t="shared" si="1"/>
        <v>11.758900000000001</v>
      </c>
      <c r="AB37" s="29">
        <f>[1]финансирование!F26/1000</f>
        <v>1.7589000000000001</v>
      </c>
      <c r="AC37" s="29">
        <f>[1]финансирование!G26/1000</f>
        <v>10</v>
      </c>
      <c r="AD37" s="34">
        <f>[1]финансирование!H26/1000</f>
        <v>20.8095</v>
      </c>
      <c r="AE37" s="34">
        <f>[1]финансирование!I26/1000</f>
        <v>13.5565</v>
      </c>
      <c r="AF37" s="35"/>
      <c r="AG37" s="35"/>
      <c r="AH37" s="35"/>
      <c r="AI37" s="35"/>
      <c r="AJ37" s="35"/>
      <c r="AK37" s="35"/>
      <c r="AL37" s="36"/>
    </row>
    <row r="38" spans="1:40" ht="15.75" x14ac:dyDescent="0.25">
      <c r="A38" s="113">
        <v>14</v>
      </c>
      <c r="B38" s="122" t="s">
        <v>65</v>
      </c>
      <c r="C38" s="17">
        <v>231</v>
      </c>
      <c r="D38" s="20"/>
      <c r="E38" s="18">
        <v>10</v>
      </c>
      <c r="F38" s="18">
        <v>4185</v>
      </c>
      <c r="G38" s="20"/>
      <c r="H38" s="18">
        <v>8</v>
      </c>
      <c r="I38" s="18">
        <v>3</v>
      </c>
      <c r="J38" s="18">
        <v>13600</v>
      </c>
      <c r="K38" s="18">
        <v>2</v>
      </c>
      <c r="L38" s="18">
        <v>1416</v>
      </c>
      <c r="M38" s="18">
        <v>4</v>
      </c>
      <c r="N38" s="18">
        <f>19.5+268.7</f>
        <v>288.2</v>
      </c>
      <c r="O38" s="18">
        <v>50</v>
      </c>
      <c r="P38" s="20"/>
      <c r="Q38" s="39"/>
      <c r="R38" s="18">
        <v>21</v>
      </c>
      <c r="S38" s="22"/>
      <c r="T38" s="23"/>
      <c r="U38" s="24"/>
      <c r="V38" s="25"/>
      <c r="W38" s="25"/>
      <c r="X38" s="25"/>
      <c r="Y38" s="24"/>
      <c r="Z38" s="24"/>
      <c r="AA38" s="38">
        <f t="shared" si="1"/>
        <v>0</v>
      </c>
      <c r="AB38" s="24"/>
      <c r="AC38" s="24"/>
      <c r="AD38" s="38"/>
      <c r="AE38" s="38"/>
      <c r="AF38" s="28"/>
      <c r="AG38" s="28"/>
      <c r="AH38" s="28"/>
      <c r="AI38" s="28"/>
      <c r="AJ38" s="28"/>
      <c r="AK38" s="28"/>
      <c r="AL38" s="22"/>
    </row>
    <row r="39" spans="1:40" ht="15.75" x14ac:dyDescent="0.25">
      <c r="A39" s="114"/>
      <c r="B39" s="123"/>
      <c r="C39" s="124">
        <v>1.232</v>
      </c>
      <c r="D39" s="125"/>
      <c r="E39" s="30">
        <v>3.6219999999999999</v>
      </c>
      <c r="F39" s="30">
        <v>1.2090000000000001</v>
      </c>
      <c r="G39" s="30"/>
      <c r="H39" s="30">
        <v>0.90400000000000003</v>
      </c>
      <c r="I39" s="30">
        <v>0.51</v>
      </c>
      <c r="J39" s="30">
        <v>0.37</v>
      </c>
      <c r="K39" s="126">
        <v>1.052</v>
      </c>
      <c r="L39" s="125"/>
      <c r="M39" s="30">
        <v>1.9830000000000001</v>
      </c>
      <c r="N39" s="30">
        <f>0.948</f>
        <v>0.94799999999999995</v>
      </c>
      <c r="O39" s="30">
        <v>1.1950000000000001</v>
      </c>
      <c r="P39" s="30"/>
      <c r="Q39" s="30"/>
      <c r="R39" s="30">
        <v>0.49199999999999999</v>
      </c>
      <c r="S39" s="52">
        <f>SUM(C39:R39)</f>
        <v>13.517000000000003</v>
      </c>
      <c r="T39" s="32">
        <f>U39+Y39+Z39</f>
        <v>70.120699999999999</v>
      </c>
      <c r="U39" s="51">
        <v>4.4800000000000004</v>
      </c>
      <c r="V39" s="33">
        <f>6.9057+4.4359+4.0947+8.9344+0.3463</f>
        <v>24.716999999999999</v>
      </c>
      <c r="W39" s="33">
        <f>0.6655+1.2368+0.3772+2.0157+0.1872</f>
        <v>4.4823999999999993</v>
      </c>
      <c r="X39" s="33"/>
      <c r="Y39" s="29"/>
      <c r="Z39" s="29">
        <f>AA39+AD39+AE39+AG39</f>
        <v>65.640699999999995</v>
      </c>
      <c r="AA39" s="34">
        <f t="shared" si="1"/>
        <v>16.907299999999999</v>
      </c>
      <c r="AB39" s="29">
        <f>[1]финансирование!F30/1000</f>
        <v>16.907299999999999</v>
      </c>
      <c r="AC39" s="29">
        <f>[1]финансирование!G30/1000</f>
        <v>0</v>
      </c>
      <c r="AD39" s="34">
        <f>[1]финансирование!H30/1000</f>
        <v>23.214599999999997</v>
      </c>
      <c r="AE39" s="34">
        <f>[1]финансирование!I30/1000</f>
        <v>14.018799999999999</v>
      </c>
      <c r="AF39" s="35"/>
      <c r="AG39" s="35">
        <v>11.5</v>
      </c>
      <c r="AH39" s="35"/>
      <c r="AI39" s="35"/>
      <c r="AJ39" s="35"/>
      <c r="AK39" s="35"/>
      <c r="AL39" s="36"/>
    </row>
    <row r="40" spans="1:40" ht="15.75" x14ac:dyDescent="0.25">
      <c r="A40" s="113">
        <v>15</v>
      </c>
      <c r="B40" s="115" t="s">
        <v>66</v>
      </c>
      <c r="C40" s="17">
        <v>277</v>
      </c>
      <c r="D40" s="18">
        <v>202.7</v>
      </c>
      <c r="E40" s="18">
        <v>9</v>
      </c>
      <c r="F40" s="18">
        <v>5881</v>
      </c>
      <c r="G40" s="20"/>
      <c r="H40" s="20"/>
      <c r="I40" s="20"/>
      <c r="J40" s="18">
        <v>8010</v>
      </c>
      <c r="K40" s="20"/>
      <c r="L40" s="20"/>
      <c r="M40" s="18">
        <v>10</v>
      </c>
      <c r="N40" s="18">
        <f>1500+950</f>
        <v>2450</v>
      </c>
      <c r="O40" s="20"/>
      <c r="P40" s="20"/>
      <c r="Q40" s="39"/>
      <c r="R40" s="20"/>
      <c r="S40" s="22"/>
      <c r="T40" s="23"/>
      <c r="U40" s="24"/>
      <c r="V40" s="25"/>
      <c r="W40" s="25"/>
      <c r="X40" s="25"/>
      <c r="Y40" s="24"/>
      <c r="Z40" s="24"/>
      <c r="AA40" s="38">
        <f t="shared" si="1"/>
        <v>0</v>
      </c>
      <c r="AB40" s="24"/>
      <c r="AC40" s="24"/>
      <c r="AD40" s="38"/>
      <c r="AE40" s="38"/>
      <c r="AF40" s="28"/>
      <c r="AG40" s="28"/>
      <c r="AH40" s="28"/>
      <c r="AI40" s="28"/>
      <c r="AJ40" s="28"/>
      <c r="AK40" s="28"/>
      <c r="AL40" s="22"/>
    </row>
    <row r="41" spans="1:40" ht="15.75" x14ac:dyDescent="0.25">
      <c r="A41" s="114"/>
      <c r="B41" s="116"/>
      <c r="C41" s="117">
        <v>47.9</v>
      </c>
      <c r="D41" s="118"/>
      <c r="E41" s="29">
        <v>5.05</v>
      </c>
      <c r="F41" s="29">
        <v>18.22</v>
      </c>
      <c r="G41" s="29"/>
      <c r="H41" s="29"/>
      <c r="I41" s="29"/>
      <c r="J41" s="29">
        <f>12.52+5.3</f>
        <v>17.82</v>
      </c>
      <c r="K41" s="119"/>
      <c r="L41" s="118"/>
      <c r="M41" s="30">
        <v>0</v>
      </c>
      <c r="N41" s="29">
        <f>8.28+0.5</f>
        <v>8.7799999999999994</v>
      </c>
      <c r="O41" s="29"/>
      <c r="P41" s="29"/>
      <c r="Q41" s="29"/>
      <c r="R41" s="29"/>
      <c r="S41" s="31">
        <f>SUM(C41:R41)</f>
        <v>97.769999999999982</v>
      </c>
      <c r="T41" s="32">
        <f>U41+Y41+Z41</f>
        <v>97.720500000000001</v>
      </c>
      <c r="U41" s="29">
        <v>4.1900000000000004</v>
      </c>
      <c r="V41" s="33">
        <f>10.6507+8.5075</f>
        <v>19.158200000000001</v>
      </c>
      <c r="W41" s="33">
        <f>1.8106+1.6015</f>
        <v>3.4120999999999997</v>
      </c>
      <c r="X41" s="33"/>
      <c r="Y41" s="29">
        <v>2.37</v>
      </c>
      <c r="Z41" s="29">
        <f>AA41+AD41+AE41+AG41</f>
        <v>91.160499999999999</v>
      </c>
      <c r="AA41" s="34">
        <f t="shared" si="1"/>
        <v>61.947800000000001</v>
      </c>
      <c r="AB41" s="29">
        <f>[1]финансирование!F24/1000</f>
        <v>43.947800000000001</v>
      </c>
      <c r="AC41" s="29">
        <f>[1]финансирование!G24/1000</f>
        <v>18</v>
      </c>
      <c r="AD41" s="34">
        <f>[1]финансирование!H24/1000</f>
        <v>21.012700000000002</v>
      </c>
      <c r="AE41" s="34">
        <f>[1]финансирование!I24/1000</f>
        <v>0</v>
      </c>
      <c r="AF41" s="35"/>
      <c r="AG41" s="35">
        <v>8.1999999999999993</v>
      </c>
      <c r="AH41" s="35"/>
      <c r="AI41" s="35"/>
      <c r="AJ41" s="35"/>
      <c r="AK41" s="35"/>
      <c r="AL41" s="36"/>
      <c r="AM41" s="37"/>
    </row>
    <row r="42" spans="1:40" ht="15.75" x14ac:dyDescent="0.25">
      <c r="A42" s="113">
        <v>16</v>
      </c>
      <c r="B42" s="115" t="s">
        <v>67</v>
      </c>
      <c r="C42" s="17">
        <v>1</v>
      </c>
      <c r="D42" s="18">
        <v>1.67</v>
      </c>
      <c r="E42" s="18">
        <v>8</v>
      </c>
      <c r="F42" s="18">
        <v>1546</v>
      </c>
      <c r="G42" s="20"/>
      <c r="H42" s="20"/>
      <c r="I42" s="18">
        <v>2</v>
      </c>
      <c r="J42" s="18">
        <v>47</v>
      </c>
      <c r="K42" s="18">
        <v>1</v>
      </c>
      <c r="L42" s="18">
        <v>52</v>
      </c>
      <c r="M42" s="20"/>
      <c r="N42" s="18"/>
      <c r="O42" s="18"/>
      <c r="P42" s="18"/>
      <c r="Q42" s="21"/>
      <c r="R42" s="18"/>
      <c r="S42" s="22"/>
      <c r="T42" s="23"/>
      <c r="U42" s="24"/>
      <c r="V42" s="25"/>
      <c r="W42" s="25"/>
      <c r="X42" s="25"/>
      <c r="Y42" s="24"/>
      <c r="Z42" s="24"/>
      <c r="AA42" s="38">
        <f t="shared" si="1"/>
        <v>0</v>
      </c>
      <c r="AB42" s="24"/>
      <c r="AC42" s="24"/>
      <c r="AD42" s="38"/>
      <c r="AE42" s="38"/>
      <c r="AF42" s="28"/>
      <c r="AG42" s="28"/>
      <c r="AH42" s="28"/>
      <c r="AI42" s="28"/>
      <c r="AJ42" s="28"/>
      <c r="AK42" s="28"/>
      <c r="AL42" s="22"/>
    </row>
    <row r="43" spans="1:40" ht="15.75" x14ac:dyDescent="0.25">
      <c r="A43" s="114"/>
      <c r="B43" s="116"/>
      <c r="C43" s="117">
        <v>7.09</v>
      </c>
      <c r="D43" s="118"/>
      <c r="E43" s="29">
        <v>7.1289999999999996</v>
      </c>
      <c r="F43" s="29">
        <v>7.27</v>
      </c>
      <c r="G43" s="29"/>
      <c r="H43" s="29"/>
      <c r="I43" s="29"/>
      <c r="J43" s="29">
        <v>0.23400000000000001</v>
      </c>
      <c r="K43" s="119">
        <v>0.41099999999999998</v>
      </c>
      <c r="L43" s="118"/>
      <c r="M43" s="29"/>
      <c r="N43" s="29"/>
      <c r="O43" s="29"/>
      <c r="P43" s="29"/>
      <c r="Q43" s="29"/>
      <c r="R43" s="29"/>
      <c r="S43" s="31">
        <f>SUM(C43:R43)</f>
        <v>22.134</v>
      </c>
      <c r="T43" s="32">
        <f>U43+Y43+Z43</f>
        <v>61.967800000000004</v>
      </c>
      <c r="U43" s="51">
        <f>W43+X43</f>
        <v>7.7202999999999999</v>
      </c>
      <c r="V43" s="33">
        <f>7.1385+6.7575+0.0646+0.653+3.9353</f>
        <v>18.548900000000003</v>
      </c>
      <c r="W43" s="33">
        <f>0.5572+0.4523+0.0646+0.0956+0.446</f>
        <v>1.6156999999999999</v>
      </c>
      <c r="X43" s="33">
        <f>1.9393+2.1687+1.9966</f>
        <v>6.1045999999999996</v>
      </c>
      <c r="Y43" s="29"/>
      <c r="Z43" s="29">
        <f>AA43+AD43+AE43</f>
        <v>54.247500000000002</v>
      </c>
      <c r="AA43" s="34">
        <f t="shared" si="1"/>
        <v>7.0196999999999994</v>
      </c>
      <c r="AB43" s="29">
        <f>[1]финансирование!F18/1000</f>
        <v>7.0196999999999994</v>
      </c>
      <c r="AC43" s="29">
        <f>[1]финансирование!G18/1000</f>
        <v>0</v>
      </c>
      <c r="AD43" s="34">
        <f>[1]финансирование!H18/1000</f>
        <v>19.129799999999999</v>
      </c>
      <c r="AE43" s="34">
        <f>[1]финансирование!I18/1000</f>
        <v>28.097999999999999</v>
      </c>
      <c r="AF43" s="35"/>
      <c r="AG43" s="35"/>
      <c r="AH43" s="35"/>
      <c r="AI43" s="35"/>
      <c r="AJ43" s="35"/>
      <c r="AK43" s="35"/>
      <c r="AL43" s="36"/>
      <c r="AM43" s="37"/>
      <c r="AN43" s="37"/>
    </row>
    <row r="44" spans="1:40" ht="15.75" x14ac:dyDescent="0.25">
      <c r="A44" s="113">
        <v>17</v>
      </c>
      <c r="B44" s="115" t="s">
        <v>68</v>
      </c>
      <c r="C44" s="17">
        <v>93</v>
      </c>
      <c r="D44" s="18">
        <v>198.54</v>
      </c>
      <c r="E44" s="18">
        <v>4</v>
      </c>
      <c r="F44" s="18">
        <v>221</v>
      </c>
      <c r="G44" s="20"/>
      <c r="H44" s="20"/>
      <c r="I44" s="18">
        <v>4</v>
      </c>
      <c r="J44" s="18">
        <v>9.1</v>
      </c>
      <c r="K44" s="18">
        <v>1</v>
      </c>
      <c r="L44" s="20"/>
      <c r="M44" s="20"/>
      <c r="N44" s="20"/>
      <c r="O44" s="20"/>
      <c r="P44" s="20"/>
      <c r="Q44" s="21">
        <v>18.5</v>
      </c>
      <c r="R44" s="18"/>
      <c r="S44" s="22"/>
      <c r="T44" s="23"/>
      <c r="U44" s="24"/>
      <c r="V44" s="25"/>
      <c r="W44" s="25"/>
      <c r="X44" s="25"/>
      <c r="Y44" s="24"/>
      <c r="Z44" s="24"/>
      <c r="AA44" s="38">
        <f t="shared" si="1"/>
        <v>0</v>
      </c>
      <c r="AB44" s="24"/>
      <c r="AC44" s="24"/>
      <c r="AD44" s="38"/>
      <c r="AE44" s="38"/>
      <c r="AF44" s="28"/>
      <c r="AG44" s="28"/>
      <c r="AH44" s="28"/>
      <c r="AI44" s="28"/>
      <c r="AJ44" s="28"/>
      <c r="AK44" s="28"/>
      <c r="AL44" s="22"/>
    </row>
    <row r="45" spans="1:40" ht="15.75" x14ac:dyDescent="0.25">
      <c r="A45" s="114"/>
      <c r="B45" s="116"/>
      <c r="C45" s="117">
        <v>2.9950000000000001</v>
      </c>
      <c r="D45" s="118"/>
      <c r="E45" s="29">
        <v>10.189</v>
      </c>
      <c r="F45" s="29">
        <v>1.82</v>
      </c>
      <c r="G45" s="29"/>
      <c r="H45" s="29"/>
      <c r="I45" s="29">
        <v>0.372</v>
      </c>
      <c r="J45" s="29">
        <f>11.22+30</f>
        <v>41.22</v>
      </c>
      <c r="K45" s="119">
        <v>0.1</v>
      </c>
      <c r="L45" s="118"/>
      <c r="M45" s="29"/>
      <c r="N45" s="29"/>
      <c r="O45" s="29"/>
      <c r="P45" s="29"/>
      <c r="Q45" s="29">
        <v>2.5</v>
      </c>
      <c r="R45" s="29"/>
      <c r="S45" s="31">
        <f>SUM(C45:R45)</f>
        <v>59.196000000000005</v>
      </c>
      <c r="T45" s="32">
        <f>U45+Y45+Z45</f>
        <v>59.104799999999997</v>
      </c>
      <c r="U45" s="29">
        <v>8.343</v>
      </c>
      <c r="V45" s="33">
        <f>14.1832</f>
        <v>14.183199999999999</v>
      </c>
      <c r="W45" s="33">
        <f>1.8924</f>
        <v>1.8924000000000001</v>
      </c>
      <c r="X45" s="33"/>
      <c r="Y45" s="29">
        <v>2.56</v>
      </c>
      <c r="Z45" s="29">
        <f>AA45+AD45+AE45</f>
        <v>48.201799999999999</v>
      </c>
      <c r="AA45" s="34">
        <f t="shared" si="1"/>
        <v>30</v>
      </c>
      <c r="AB45" s="29">
        <f>[1]финансирование!F27/1000</f>
        <v>0</v>
      </c>
      <c r="AC45" s="29">
        <f>[1]финансирование!G27/1000</f>
        <v>30</v>
      </c>
      <c r="AD45" s="34">
        <f>[1]финансирование!H27/1000</f>
        <v>18.201799999999999</v>
      </c>
      <c r="AE45" s="34">
        <f>[1]финансирование!I27/1000</f>
        <v>0</v>
      </c>
      <c r="AF45" s="35"/>
      <c r="AG45" s="35"/>
      <c r="AH45" s="35"/>
      <c r="AI45" s="35"/>
      <c r="AJ45" s="35"/>
      <c r="AK45" s="35"/>
      <c r="AL45" s="36"/>
    </row>
    <row r="46" spans="1:40" ht="15.75" x14ac:dyDescent="0.25">
      <c r="A46" s="113">
        <v>18</v>
      </c>
      <c r="B46" s="115" t="s">
        <v>69</v>
      </c>
      <c r="C46" s="17">
        <v>101</v>
      </c>
      <c r="D46" s="18">
        <v>3.794</v>
      </c>
      <c r="E46" s="18">
        <v>15</v>
      </c>
      <c r="F46" s="18">
        <v>1280</v>
      </c>
      <c r="G46" s="18">
        <v>1</v>
      </c>
      <c r="H46" s="18">
        <v>1</v>
      </c>
      <c r="I46" s="18">
        <v>2</v>
      </c>
      <c r="J46" s="18">
        <v>3436.7</v>
      </c>
      <c r="K46" s="20"/>
      <c r="L46" s="18">
        <v>842.6</v>
      </c>
      <c r="M46" s="18">
        <v>3</v>
      </c>
      <c r="N46" s="18">
        <f>2350.35</f>
        <v>2350.35</v>
      </c>
      <c r="O46" s="18">
        <v>8</v>
      </c>
      <c r="P46" s="20"/>
      <c r="Q46" s="39"/>
      <c r="R46" s="18">
        <f>12+36</f>
        <v>48</v>
      </c>
      <c r="S46" s="22"/>
      <c r="T46" s="23"/>
      <c r="U46" s="24"/>
      <c r="V46" s="25"/>
      <c r="W46" s="25"/>
      <c r="X46" s="25"/>
      <c r="Y46" s="24"/>
      <c r="Z46" s="24"/>
      <c r="AA46" s="38">
        <f t="shared" si="1"/>
        <v>0</v>
      </c>
      <c r="AB46" s="24"/>
      <c r="AC46" s="24"/>
      <c r="AD46" s="38"/>
      <c r="AE46" s="38"/>
      <c r="AF46" s="28"/>
      <c r="AG46" s="28"/>
      <c r="AH46" s="28"/>
      <c r="AI46" s="28"/>
      <c r="AJ46" s="28"/>
      <c r="AK46" s="28"/>
      <c r="AL46" s="22"/>
    </row>
    <row r="47" spans="1:40" ht="15.75" x14ac:dyDescent="0.25">
      <c r="A47" s="114"/>
      <c r="B47" s="116"/>
      <c r="C47" s="117">
        <v>32.299999999999997</v>
      </c>
      <c r="D47" s="118"/>
      <c r="E47" s="29">
        <v>36.53</v>
      </c>
      <c r="F47" s="29">
        <f>18.13</f>
        <v>18.13</v>
      </c>
      <c r="G47" s="29">
        <v>3.01</v>
      </c>
      <c r="H47" s="29">
        <v>0.11</v>
      </c>
      <c r="I47" s="29">
        <v>0.94</v>
      </c>
      <c r="J47" s="29">
        <v>19.059999999999999</v>
      </c>
      <c r="K47" s="119">
        <v>11</v>
      </c>
      <c r="L47" s="118"/>
      <c r="M47" s="29">
        <v>19.489999999999998</v>
      </c>
      <c r="N47" s="29">
        <v>9.4600000000000009</v>
      </c>
      <c r="O47" s="29">
        <v>11.02</v>
      </c>
      <c r="P47" s="29"/>
      <c r="Q47" s="29"/>
      <c r="R47" s="29">
        <f>52.63+0.57</f>
        <v>53.2</v>
      </c>
      <c r="S47" s="52">
        <f>SUM(C47:R47)</f>
        <v>214.25</v>
      </c>
      <c r="T47" s="32">
        <f>U47+Y47+Z47</f>
        <v>242.78329999999997</v>
      </c>
      <c r="U47" s="29">
        <v>2.7</v>
      </c>
      <c r="V47" s="33">
        <f>3.0974+7.7001</f>
        <v>10.797499999999999</v>
      </c>
      <c r="W47" s="33">
        <f>1.7094+0.9893</f>
        <v>2.6987000000000001</v>
      </c>
      <c r="X47" s="33"/>
      <c r="Y47" s="29">
        <v>1.68</v>
      </c>
      <c r="Z47" s="29">
        <f>AA47+AD47+AE47+AG47</f>
        <v>238.40329999999997</v>
      </c>
      <c r="AA47" s="34">
        <f t="shared" si="1"/>
        <v>29.5</v>
      </c>
      <c r="AB47" s="29">
        <f>[1]финансирование!F17/1000</f>
        <v>29.5</v>
      </c>
      <c r="AC47" s="29">
        <f>[1]финансирование!G17/1000</f>
        <v>0</v>
      </c>
      <c r="AD47" s="34">
        <f>[1]финансирование!H17/1000</f>
        <v>148.38329999999999</v>
      </c>
      <c r="AE47" s="34">
        <f>[1]финансирование!I17/1000</f>
        <v>52.1</v>
      </c>
      <c r="AF47" s="35"/>
      <c r="AG47" s="35">
        <v>8.42</v>
      </c>
      <c r="AH47" s="35"/>
      <c r="AI47" s="35"/>
      <c r="AJ47" s="35"/>
      <c r="AK47" s="35"/>
      <c r="AL47" s="36"/>
    </row>
    <row r="48" spans="1:40" ht="15.75" x14ac:dyDescent="0.25">
      <c r="A48" s="113">
        <v>19</v>
      </c>
      <c r="B48" s="122" t="s">
        <v>70</v>
      </c>
      <c r="C48" s="17">
        <v>36</v>
      </c>
      <c r="D48" s="18">
        <v>8.8000000000000007</v>
      </c>
      <c r="E48" s="18">
        <v>2</v>
      </c>
      <c r="F48" s="19">
        <v>0.374</v>
      </c>
      <c r="G48" s="20"/>
      <c r="H48" s="18">
        <v>1</v>
      </c>
      <c r="I48" s="20"/>
      <c r="J48" s="18">
        <v>50</v>
      </c>
      <c r="K48" s="20"/>
      <c r="L48" s="18">
        <v>90</v>
      </c>
      <c r="M48" s="18">
        <v>3</v>
      </c>
      <c r="N48" s="18">
        <f>1200</f>
        <v>1200</v>
      </c>
      <c r="O48" s="18">
        <v>1</v>
      </c>
      <c r="P48" s="20"/>
      <c r="Q48" s="39"/>
      <c r="R48" s="18">
        <v>5</v>
      </c>
      <c r="S48" s="22"/>
      <c r="T48" s="23"/>
      <c r="U48" s="24"/>
      <c r="V48" s="25"/>
      <c r="W48" s="25"/>
      <c r="X48" s="25"/>
      <c r="Y48" s="24"/>
      <c r="Z48" s="24"/>
      <c r="AA48" s="38">
        <f t="shared" si="1"/>
        <v>0</v>
      </c>
      <c r="AB48" s="24"/>
      <c r="AC48" s="24"/>
      <c r="AD48" s="38"/>
      <c r="AE48" s="38"/>
      <c r="AF48" s="28"/>
      <c r="AG48" s="28"/>
      <c r="AH48" s="28"/>
      <c r="AI48" s="28"/>
      <c r="AJ48" s="28"/>
      <c r="AK48" s="28"/>
      <c r="AL48" s="22"/>
    </row>
    <row r="49" spans="1:38" ht="15.75" x14ac:dyDescent="0.25">
      <c r="A49" s="114"/>
      <c r="B49" s="123"/>
      <c r="C49" s="117">
        <f>4.85+1.24</f>
        <v>6.09</v>
      </c>
      <c r="D49" s="118"/>
      <c r="E49" s="29">
        <v>6.72</v>
      </c>
      <c r="F49" s="30">
        <v>7.51</v>
      </c>
      <c r="G49" s="29"/>
      <c r="H49" s="29">
        <v>1.52</v>
      </c>
      <c r="I49" s="29"/>
      <c r="J49" s="29">
        <v>0.505</v>
      </c>
      <c r="K49" s="119">
        <v>1.01</v>
      </c>
      <c r="L49" s="118"/>
      <c r="M49" s="29">
        <v>24.59</v>
      </c>
      <c r="N49" s="29">
        <v>5.56</v>
      </c>
      <c r="O49" s="29">
        <v>0.26</v>
      </c>
      <c r="P49" s="29"/>
      <c r="Q49" s="29"/>
      <c r="R49" s="29">
        <v>0.75</v>
      </c>
      <c r="S49" s="31">
        <f>SUM(C49:R49)</f>
        <v>54.515000000000001</v>
      </c>
      <c r="T49" s="32">
        <f>U49+Y49+Z49</f>
        <v>38.915399999999998</v>
      </c>
      <c r="U49" s="29">
        <v>1.01</v>
      </c>
      <c r="V49" s="33">
        <v>9.5533999999999999</v>
      </c>
      <c r="W49" s="33">
        <f>1.3438</f>
        <v>1.3438000000000001</v>
      </c>
      <c r="X49" s="33"/>
      <c r="Y49" s="29">
        <v>0.48499999999999999</v>
      </c>
      <c r="Z49" s="29">
        <f>AA49+AD49+AE49+AG49</f>
        <v>37.420400000000001</v>
      </c>
      <c r="AA49" s="34">
        <f t="shared" si="1"/>
        <v>12.3</v>
      </c>
      <c r="AB49" s="29">
        <f>[1]финансирование!F22/1000</f>
        <v>4.8</v>
      </c>
      <c r="AC49" s="29">
        <f>[1]финансирование!G22/1000</f>
        <v>7.5</v>
      </c>
      <c r="AD49" s="34">
        <f>[1]финансирование!H22/1000</f>
        <v>9.5785999999999998</v>
      </c>
      <c r="AE49" s="34">
        <f>[1]финансирование!I22/1000</f>
        <v>12.291799999999999</v>
      </c>
      <c r="AF49" s="35"/>
      <c r="AG49" s="35">
        <v>3.25</v>
      </c>
      <c r="AH49" s="35"/>
      <c r="AI49" s="35"/>
      <c r="AJ49" s="35"/>
      <c r="AK49" s="35"/>
      <c r="AL49" s="36"/>
    </row>
    <row r="50" spans="1:38" ht="15.75" x14ac:dyDescent="0.25">
      <c r="A50" s="113">
        <v>20</v>
      </c>
      <c r="B50" s="115" t="s">
        <v>71</v>
      </c>
      <c r="C50" s="17"/>
      <c r="D50" s="18"/>
      <c r="E50" s="18">
        <v>2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21"/>
      <c r="R50" s="18"/>
      <c r="S50" s="22"/>
      <c r="T50" s="23"/>
      <c r="U50" s="24"/>
      <c r="V50" s="25"/>
      <c r="W50" s="25"/>
      <c r="X50" s="25"/>
      <c r="Y50" s="24"/>
      <c r="Z50" s="24"/>
      <c r="AA50" s="38">
        <f t="shared" si="1"/>
        <v>0</v>
      </c>
      <c r="AB50" s="24"/>
      <c r="AC50" s="24"/>
      <c r="AD50" s="38"/>
      <c r="AE50" s="38"/>
      <c r="AF50" s="28"/>
      <c r="AG50" s="28"/>
      <c r="AH50" s="28"/>
      <c r="AI50" s="28"/>
      <c r="AJ50" s="28"/>
      <c r="AK50" s="28"/>
      <c r="AL50" s="22"/>
    </row>
    <row r="51" spans="1:38" ht="16.5" thickBot="1" x14ac:dyDescent="0.3">
      <c r="A51" s="114"/>
      <c r="B51" s="116"/>
      <c r="C51" s="117"/>
      <c r="D51" s="118"/>
      <c r="E51" s="29"/>
      <c r="F51" s="29"/>
      <c r="G51" s="29"/>
      <c r="H51" s="29"/>
      <c r="I51" s="29"/>
      <c r="J51" s="29"/>
      <c r="K51" s="119"/>
      <c r="L51" s="118"/>
      <c r="M51" s="29"/>
      <c r="N51" s="29"/>
      <c r="O51" s="29"/>
      <c r="P51" s="29"/>
      <c r="Q51" s="29"/>
      <c r="R51" s="29"/>
      <c r="S51" s="31">
        <f>SUM(C51:R51)</f>
        <v>0</v>
      </c>
      <c r="T51" s="32">
        <f>U51+Y51+Z51</f>
        <v>26.857599999999998</v>
      </c>
      <c r="U51" s="51">
        <v>2.4</v>
      </c>
      <c r="V51" s="33">
        <v>2.4037999999999999</v>
      </c>
      <c r="W51" s="33">
        <f>0.4287</f>
        <v>0.42870000000000003</v>
      </c>
      <c r="X51" s="33"/>
      <c r="Y51" s="29"/>
      <c r="Z51" s="29">
        <f>AA51+AD51+AE51</f>
        <v>24.457599999999999</v>
      </c>
      <c r="AA51" s="34">
        <f t="shared" si="1"/>
        <v>9</v>
      </c>
      <c r="AB51" s="29">
        <f>[1]финансирование!F28/1000</f>
        <v>0</v>
      </c>
      <c r="AC51" s="29">
        <f>[1]финансирование!G28/1000</f>
        <v>9</v>
      </c>
      <c r="AD51" s="34">
        <f>[1]финансирование!H28/1000</f>
        <v>15.457600000000001</v>
      </c>
      <c r="AE51" s="34">
        <f>[1]финансирование!I28/1000</f>
        <v>0</v>
      </c>
      <c r="AF51" s="35"/>
      <c r="AG51" s="35"/>
      <c r="AH51" s="35"/>
      <c r="AI51" s="35"/>
      <c r="AJ51" s="35"/>
      <c r="AK51" s="35"/>
      <c r="AL51" s="36"/>
    </row>
    <row r="52" spans="1:38" ht="15.75" x14ac:dyDescent="0.25">
      <c r="A52" s="120" t="s">
        <v>72</v>
      </c>
      <c r="B52" s="121"/>
      <c r="C52" s="53">
        <f t="shared" ref="C52:R52" si="2">C12+C38+C16+C44+C50+C36+C28+C40+C30+C48+C22+C20+C34+C26+C42+C46+C14+C18+C24+C32</f>
        <v>2309</v>
      </c>
      <c r="D52" s="54">
        <f t="shared" si="2"/>
        <v>3113.7979999999998</v>
      </c>
      <c r="E52" s="55">
        <f t="shared" si="2"/>
        <v>248</v>
      </c>
      <c r="F52" s="54">
        <f t="shared" si="2"/>
        <v>59484.464000000007</v>
      </c>
      <c r="G52" s="54">
        <f t="shared" si="2"/>
        <v>17</v>
      </c>
      <c r="H52" s="54">
        <f t="shared" si="2"/>
        <v>100</v>
      </c>
      <c r="I52" s="54">
        <f t="shared" si="2"/>
        <v>107</v>
      </c>
      <c r="J52" s="54">
        <f t="shared" si="2"/>
        <v>299880.8</v>
      </c>
      <c r="K52" s="54">
        <f t="shared" si="2"/>
        <v>155</v>
      </c>
      <c r="L52" s="54">
        <f t="shared" si="2"/>
        <v>34296.199999999997</v>
      </c>
      <c r="M52" s="54">
        <f t="shared" si="2"/>
        <v>156</v>
      </c>
      <c r="N52" s="55">
        <f t="shared" si="2"/>
        <v>200783</v>
      </c>
      <c r="O52" s="54">
        <f t="shared" si="2"/>
        <v>243</v>
      </c>
      <c r="P52" s="54">
        <f t="shared" si="2"/>
        <v>21969</v>
      </c>
      <c r="Q52" s="54">
        <f t="shared" si="2"/>
        <v>294.5</v>
      </c>
      <c r="R52" s="54">
        <f t="shared" si="2"/>
        <v>192</v>
      </c>
      <c r="S52" s="56"/>
      <c r="T52" s="53"/>
      <c r="U52" s="54"/>
      <c r="V52" s="54"/>
      <c r="W52" s="54"/>
      <c r="X52" s="54"/>
      <c r="Y52" s="54"/>
      <c r="Z52" s="54"/>
      <c r="AA52" s="57"/>
      <c r="AB52" s="54"/>
      <c r="AC52" s="54"/>
      <c r="AD52" s="54"/>
      <c r="AE52" s="54"/>
      <c r="AF52" s="58"/>
      <c r="AG52" s="58"/>
      <c r="AH52" s="58"/>
      <c r="AI52" s="58"/>
      <c r="AJ52" s="58"/>
      <c r="AK52" s="58"/>
      <c r="AL52" s="56"/>
    </row>
    <row r="53" spans="1:38" ht="16.5" thickBot="1" x14ac:dyDescent="0.3">
      <c r="A53" s="106" t="s">
        <v>73</v>
      </c>
      <c r="B53" s="107"/>
      <c r="C53" s="108">
        <f>C13+C39+C17+C45+C51+C37+C29+C41+C31+C49+C23+C21+C35+C27+C43+C47+C15+C19+C25+C33</f>
        <v>708.4079999999999</v>
      </c>
      <c r="D53" s="109"/>
      <c r="E53" s="59">
        <f t="shared" ref="E53:K53" si="3">E13+E39+E17+E45+E51+E37+E29+E41+E31+E49+E23+E21+E35+E27+E43+E47+E15+E19+E25+E33</f>
        <v>277.81299999999999</v>
      </c>
      <c r="F53" s="59">
        <f t="shared" si="3"/>
        <v>635.00400000000013</v>
      </c>
      <c r="G53" s="59">
        <f t="shared" si="3"/>
        <v>6.7339999999999991</v>
      </c>
      <c r="H53" s="59">
        <f t="shared" si="3"/>
        <v>30.828999999999997</v>
      </c>
      <c r="I53" s="59">
        <f t="shared" si="3"/>
        <v>113.256</v>
      </c>
      <c r="J53" s="59">
        <f t="shared" si="3"/>
        <v>302.0813</v>
      </c>
      <c r="K53" s="110">
        <f t="shared" si="3"/>
        <v>438.17600000000004</v>
      </c>
      <c r="L53" s="111"/>
      <c r="M53" s="59">
        <f t="shared" ref="M53:Z53" si="4">M13+M39+M17+M45+M51+M37+M29+M41+M31+M49+M23+M21+M35+M27+M43+M47+M15+M19+M25+M33</f>
        <v>140.52699999999999</v>
      </c>
      <c r="N53" s="59">
        <f t="shared" si="4"/>
        <v>198.03699999999998</v>
      </c>
      <c r="O53" s="59">
        <f t="shared" si="4"/>
        <v>478.36099999999993</v>
      </c>
      <c r="P53" s="59">
        <f t="shared" si="4"/>
        <v>0.31</v>
      </c>
      <c r="Q53" s="59">
        <f t="shared" si="4"/>
        <v>1099.163</v>
      </c>
      <c r="R53" s="59">
        <f t="shared" si="4"/>
        <v>196.36800000000002</v>
      </c>
      <c r="S53" s="59">
        <f t="shared" si="4"/>
        <v>4625.0673000000006</v>
      </c>
      <c r="T53" s="60">
        <f t="shared" si="4"/>
        <v>4606.0064000000002</v>
      </c>
      <c r="U53" s="59">
        <f t="shared" si="4"/>
        <v>577.8053000000001</v>
      </c>
      <c r="V53" s="59">
        <f t="shared" si="4"/>
        <v>853.01080000000002</v>
      </c>
      <c r="W53" s="59">
        <f t="shared" si="4"/>
        <v>107.50634000000001</v>
      </c>
      <c r="X53" s="59">
        <f t="shared" si="4"/>
        <v>113.87610000000001</v>
      </c>
      <c r="Y53" s="59">
        <f t="shared" si="4"/>
        <v>932.298</v>
      </c>
      <c r="Z53" s="61">
        <f t="shared" si="4"/>
        <v>3095.9030999999995</v>
      </c>
      <c r="AA53" s="62">
        <f t="shared" ref="AA53:AL53" si="5">AA51+AA49+AA47+AA45+AA43+AA41+AA39+AA37+AA35+AA33+AA31+AA29+AA27+AA25+AA23+AA21+AA19+AA17+AA15+AA13</f>
        <v>1002.6028999999999</v>
      </c>
      <c r="AB53" s="59">
        <f t="shared" si="5"/>
        <v>565.51599999999985</v>
      </c>
      <c r="AC53" s="59">
        <f t="shared" si="5"/>
        <v>437.08690000000001</v>
      </c>
      <c r="AD53" s="59">
        <f t="shared" si="5"/>
        <v>795.01920000000007</v>
      </c>
      <c r="AE53" s="59">
        <f t="shared" si="5"/>
        <v>271.53999999999996</v>
      </c>
      <c r="AF53" s="59">
        <f t="shared" si="5"/>
        <v>293.10000000000002</v>
      </c>
      <c r="AG53" s="59">
        <f t="shared" si="5"/>
        <v>88.260999999999996</v>
      </c>
      <c r="AH53" s="59">
        <f t="shared" si="5"/>
        <v>295</v>
      </c>
      <c r="AI53" s="59">
        <f t="shared" si="5"/>
        <v>66.599999999999994</v>
      </c>
      <c r="AJ53" s="59">
        <f t="shared" si="5"/>
        <v>228.39999999999998</v>
      </c>
      <c r="AK53" s="59">
        <f t="shared" si="5"/>
        <v>55.379999999999995</v>
      </c>
      <c r="AL53" s="59">
        <f t="shared" si="5"/>
        <v>0</v>
      </c>
    </row>
    <row r="54" spans="1:38" ht="18.75" x14ac:dyDescent="0.3">
      <c r="A54" s="5"/>
      <c r="B54" s="64" t="s">
        <v>74</v>
      </c>
      <c r="C54" s="65"/>
      <c r="D54" s="64"/>
      <c r="E54" s="64"/>
      <c r="F54" s="64"/>
      <c r="G54" s="64"/>
      <c r="H54" s="64"/>
      <c r="I54" s="66"/>
      <c r="J54" s="5"/>
      <c r="K54" s="5"/>
      <c r="S54" s="37"/>
      <c r="T54" s="67"/>
      <c r="U54" s="68"/>
      <c r="V54" s="68"/>
      <c r="W54" s="68"/>
      <c r="X54" s="68"/>
      <c r="Y54" s="67"/>
      <c r="AA54" s="69"/>
      <c r="AB54" s="69"/>
      <c r="AC54" s="69"/>
      <c r="AD54" s="69"/>
      <c r="AE54" s="69"/>
      <c r="AL54" s="64"/>
    </row>
    <row r="55" spans="1:38" ht="15.75" x14ac:dyDescent="0.25">
      <c r="A55" s="5"/>
      <c r="B55" s="64" t="s">
        <v>75</v>
      </c>
      <c r="C55" s="5"/>
      <c r="D55" s="5"/>
      <c r="E55" s="5"/>
      <c r="F55" s="5"/>
      <c r="G55" s="5"/>
      <c r="H55" s="5"/>
      <c r="I55" s="6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69"/>
      <c r="AB55" s="69"/>
      <c r="AC55" s="69"/>
      <c r="AD55" s="69"/>
      <c r="AE55" s="69"/>
      <c r="AF55" s="5"/>
      <c r="AG55" s="5"/>
      <c r="AH55" s="5"/>
      <c r="AI55" s="5"/>
      <c r="AJ55" s="5"/>
      <c r="AK55" s="5"/>
      <c r="AL55" s="64"/>
    </row>
    <row r="56" spans="1:38" ht="15.75" x14ac:dyDescent="0.25">
      <c r="B56" s="5"/>
      <c r="AA56" s="69"/>
      <c r="AB56" s="69"/>
      <c r="AC56" s="69"/>
      <c r="AD56" s="69"/>
      <c r="AE56" s="69"/>
    </row>
    <row r="57" spans="1:38" ht="15.75" x14ac:dyDescent="0.25">
      <c r="AA57" s="63"/>
      <c r="AB57" s="63"/>
      <c r="AC57" s="63"/>
      <c r="AD57" s="63"/>
      <c r="AE57" s="63"/>
    </row>
    <row r="58" spans="1:38" ht="18.75" x14ac:dyDescent="0.3">
      <c r="A58" s="112" t="s">
        <v>76</v>
      </c>
      <c r="B58" s="112"/>
      <c r="C58" s="112"/>
      <c r="D58" s="112"/>
      <c r="E58" s="112"/>
      <c r="F58" s="112"/>
      <c r="G58" s="112"/>
      <c r="H58" s="112"/>
      <c r="R58" s="112" t="s">
        <v>77</v>
      </c>
      <c r="S58" s="112"/>
    </row>
    <row r="59" spans="1:38" x14ac:dyDescent="0.25">
      <c r="AA59" s="5"/>
      <c r="AB59" s="5"/>
      <c r="AC59" s="5"/>
      <c r="AD59" s="71"/>
      <c r="AE59" s="5"/>
    </row>
    <row r="61" spans="1:38" x14ac:dyDescent="0.25">
      <c r="AA61" s="3"/>
      <c r="AB61" s="3"/>
      <c r="AC61" s="72"/>
      <c r="AD61" s="3"/>
      <c r="AE61" s="3"/>
    </row>
    <row r="62" spans="1:38" x14ac:dyDescent="0.25">
      <c r="AA62" s="3"/>
      <c r="AB62" s="3"/>
      <c r="AC62" s="72"/>
      <c r="AD62" s="3"/>
      <c r="AE62" s="3"/>
    </row>
  </sheetData>
  <mergeCells count="133">
    <mergeCell ref="A1:D1"/>
    <mergeCell ref="R1:AL1"/>
    <mergeCell ref="A2:D2"/>
    <mergeCell ref="R2:AL3"/>
    <mergeCell ref="A3:B3"/>
    <mergeCell ref="C3:E3"/>
    <mergeCell ref="A4:B4"/>
    <mergeCell ref="A5:AL5"/>
    <mergeCell ref="A6:A10"/>
    <mergeCell ref="B6:B10"/>
    <mergeCell ref="C6:S6"/>
    <mergeCell ref="T6:AL6"/>
    <mergeCell ref="C7:D9"/>
    <mergeCell ref="E7:E9"/>
    <mergeCell ref="F7:F9"/>
    <mergeCell ref="G7:G9"/>
    <mergeCell ref="R7:R9"/>
    <mergeCell ref="S7:S10"/>
    <mergeCell ref="T7:T10"/>
    <mergeCell ref="H7:H9"/>
    <mergeCell ref="I7:I9"/>
    <mergeCell ref="J7:J9"/>
    <mergeCell ref="K7:L9"/>
    <mergeCell ref="M7:M9"/>
    <mergeCell ref="N7:N9"/>
    <mergeCell ref="U7:AL7"/>
    <mergeCell ref="U8:U10"/>
    <mergeCell ref="V8:X9"/>
    <mergeCell ref="Y8:Y10"/>
    <mergeCell ref="Z8:Z10"/>
    <mergeCell ref="AA8:AA10"/>
    <mergeCell ref="AB8:AB10"/>
    <mergeCell ref="AC8:AC10"/>
    <mergeCell ref="AD8:AD10"/>
    <mergeCell ref="AE8:AE10"/>
    <mergeCell ref="A14:A15"/>
    <mergeCell ref="B14:B15"/>
    <mergeCell ref="C15:D15"/>
    <mergeCell ref="K15:L15"/>
    <mergeCell ref="A16:A17"/>
    <mergeCell ref="B16:B17"/>
    <mergeCell ref="C17:D17"/>
    <mergeCell ref="K17:L17"/>
    <mergeCell ref="AL8:AL10"/>
    <mergeCell ref="C11:D11"/>
    <mergeCell ref="K11:L11"/>
    <mergeCell ref="A12:A13"/>
    <mergeCell ref="B12:B13"/>
    <mergeCell ref="C13:D13"/>
    <mergeCell ref="K13:L13"/>
    <mergeCell ref="AF8:AF10"/>
    <mergeCell ref="AG8:AG10"/>
    <mergeCell ref="AH8:AH10"/>
    <mergeCell ref="AI8:AI10"/>
    <mergeCell ref="AJ8:AJ10"/>
    <mergeCell ref="AK8:AK10"/>
    <mergeCell ref="O7:O9"/>
    <mergeCell ref="P7:P9"/>
    <mergeCell ref="Q7:Q9"/>
    <mergeCell ref="A22:A23"/>
    <mergeCell ref="B22:B23"/>
    <mergeCell ref="C23:D23"/>
    <mergeCell ref="K23:L23"/>
    <mergeCell ref="A24:A25"/>
    <mergeCell ref="B24:B25"/>
    <mergeCell ref="C25:D25"/>
    <mergeCell ref="K25:L25"/>
    <mergeCell ref="A18:A19"/>
    <mergeCell ref="B18:B19"/>
    <mergeCell ref="C19:D19"/>
    <mergeCell ref="K19:L19"/>
    <mergeCell ref="A20:A21"/>
    <mergeCell ref="B20:B21"/>
    <mergeCell ref="C21:D21"/>
    <mergeCell ref="K21:L21"/>
    <mergeCell ref="A30:A31"/>
    <mergeCell ref="B30:B31"/>
    <mergeCell ref="C31:D31"/>
    <mergeCell ref="K31:L31"/>
    <mergeCell ref="A32:A33"/>
    <mergeCell ref="B32:B33"/>
    <mergeCell ref="C33:D33"/>
    <mergeCell ref="K33:L33"/>
    <mergeCell ref="A26:A27"/>
    <mergeCell ref="B26:B27"/>
    <mergeCell ref="C27:D27"/>
    <mergeCell ref="K27:L27"/>
    <mergeCell ref="A28:A29"/>
    <mergeCell ref="B28:B29"/>
    <mergeCell ref="C29:D29"/>
    <mergeCell ref="K29:L29"/>
    <mergeCell ref="A38:A39"/>
    <mergeCell ref="B38:B39"/>
    <mergeCell ref="C39:D39"/>
    <mergeCell ref="K39:L39"/>
    <mergeCell ref="A40:A41"/>
    <mergeCell ref="B40:B41"/>
    <mergeCell ref="C41:D41"/>
    <mergeCell ref="K41:L41"/>
    <mergeCell ref="A34:A35"/>
    <mergeCell ref="B34:B35"/>
    <mergeCell ref="C35:D35"/>
    <mergeCell ref="K35:L35"/>
    <mergeCell ref="A36:A37"/>
    <mergeCell ref="B36:B37"/>
    <mergeCell ref="C37:D37"/>
    <mergeCell ref="K37:L37"/>
    <mergeCell ref="A46:A47"/>
    <mergeCell ref="B46:B47"/>
    <mergeCell ref="C47:D47"/>
    <mergeCell ref="K47:L47"/>
    <mergeCell ref="A48:A49"/>
    <mergeCell ref="B48:B49"/>
    <mergeCell ref="C49:D49"/>
    <mergeCell ref="K49:L49"/>
    <mergeCell ref="A42:A43"/>
    <mergeCell ref="B42:B43"/>
    <mergeCell ref="C43:D43"/>
    <mergeCell ref="K43:L43"/>
    <mergeCell ref="A44:A45"/>
    <mergeCell ref="B44:B45"/>
    <mergeCell ref="C45:D45"/>
    <mergeCell ref="K45:L45"/>
    <mergeCell ref="A53:B53"/>
    <mergeCell ref="C53:D53"/>
    <mergeCell ref="K53:L53"/>
    <mergeCell ref="A58:H58"/>
    <mergeCell ref="R58:S58"/>
    <mergeCell ref="A50:A51"/>
    <mergeCell ref="B50:B51"/>
    <mergeCell ref="C51:D51"/>
    <mergeCell ref="K51:L51"/>
    <mergeCell ref="A52:B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B53"/>
  <sheetViews>
    <sheetView topLeftCell="A13" workbookViewId="0">
      <selection activeCell="E17" sqref="E17"/>
    </sheetView>
  </sheetViews>
  <sheetFormatPr defaultRowHeight="15" x14ac:dyDescent="0.25"/>
  <cols>
    <col min="2" max="2" width="29.140625" customWidth="1"/>
  </cols>
  <sheetData>
    <row r="5" spans="1:2" ht="15.75" thickBot="1" x14ac:dyDescent="0.3"/>
    <row r="6" spans="1:2" ht="15" customHeight="1" x14ac:dyDescent="0.25">
      <c r="A6" s="169" t="s">
        <v>7</v>
      </c>
      <c r="B6" s="172" t="s">
        <v>8</v>
      </c>
    </row>
    <row r="7" spans="1:2" ht="15" customHeight="1" x14ac:dyDescent="0.25">
      <c r="A7" s="170"/>
      <c r="B7" s="173"/>
    </row>
    <row r="8" spans="1:2" ht="15" customHeight="1" x14ac:dyDescent="0.25">
      <c r="A8" s="170"/>
      <c r="B8" s="173"/>
    </row>
    <row r="9" spans="1:2" ht="15" customHeight="1" x14ac:dyDescent="0.25">
      <c r="A9" s="170"/>
      <c r="B9" s="173"/>
    </row>
    <row r="10" spans="1:2" ht="15.75" customHeight="1" thickBot="1" x14ac:dyDescent="0.3">
      <c r="A10" s="171"/>
      <c r="B10" s="174"/>
    </row>
    <row r="11" spans="1:2" ht="15" customHeight="1" thickBot="1" x14ac:dyDescent="0.3">
      <c r="A11" s="73">
        <v>1</v>
      </c>
      <c r="B11" s="74">
        <v>2</v>
      </c>
    </row>
    <row r="12" spans="1:2" ht="15" customHeight="1" x14ac:dyDescent="0.25">
      <c r="A12" s="192">
        <v>1</v>
      </c>
      <c r="B12" s="115" t="s">
        <v>52</v>
      </c>
    </row>
    <row r="13" spans="1:2" ht="15" customHeight="1" x14ac:dyDescent="0.25">
      <c r="A13" s="193"/>
      <c r="B13" s="116"/>
    </row>
    <row r="14" spans="1:2" ht="15" customHeight="1" x14ac:dyDescent="0.25">
      <c r="A14" s="195">
        <v>2</v>
      </c>
      <c r="B14" s="197" t="s">
        <v>53</v>
      </c>
    </row>
    <row r="15" spans="1:2" ht="15" customHeight="1" x14ac:dyDescent="0.25">
      <c r="A15" s="196"/>
      <c r="B15" s="198"/>
    </row>
    <row r="16" spans="1:2" ht="15" customHeight="1" x14ac:dyDescent="0.25">
      <c r="A16" s="192">
        <v>3</v>
      </c>
      <c r="B16" s="115" t="s">
        <v>54</v>
      </c>
    </row>
    <row r="17" spans="1:2" ht="15" customHeight="1" x14ac:dyDescent="0.25">
      <c r="A17" s="193"/>
      <c r="B17" s="116"/>
    </row>
    <row r="18" spans="1:2" ht="15" customHeight="1" x14ac:dyDescent="0.25">
      <c r="A18" s="192">
        <v>4</v>
      </c>
      <c r="B18" s="115" t="s">
        <v>55</v>
      </c>
    </row>
    <row r="19" spans="1:2" ht="15" customHeight="1" x14ac:dyDescent="0.25">
      <c r="A19" s="193"/>
      <c r="B19" s="116"/>
    </row>
    <row r="20" spans="1:2" ht="15" customHeight="1" x14ac:dyDescent="0.25">
      <c r="A20" s="192">
        <v>5</v>
      </c>
      <c r="B20" s="115" t="s">
        <v>56</v>
      </c>
    </row>
    <row r="21" spans="1:2" ht="15" customHeight="1" x14ac:dyDescent="0.25">
      <c r="A21" s="193"/>
      <c r="B21" s="116"/>
    </row>
    <row r="22" spans="1:2" ht="15" customHeight="1" x14ac:dyDescent="0.25">
      <c r="A22" s="192">
        <v>6</v>
      </c>
      <c r="B22" s="115" t="s">
        <v>57</v>
      </c>
    </row>
    <row r="23" spans="1:2" ht="15" customHeight="1" x14ac:dyDescent="0.25">
      <c r="A23" s="193"/>
      <c r="B23" s="116"/>
    </row>
    <row r="24" spans="1:2" ht="15" customHeight="1" x14ac:dyDescent="0.25">
      <c r="A24" s="192">
        <v>7</v>
      </c>
      <c r="B24" s="115" t="s">
        <v>58</v>
      </c>
    </row>
    <row r="25" spans="1:2" ht="15" customHeight="1" x14ac:dyDescent="0.25">
      <c r="A25" s="193"/>
      <c r="B25" s="116"/>
    </row>
    <row r="26" spans="1:2" ht="15" customHeight="1" x14ac:dyDescent="0.25">
      <c r="A26" s="192">
        <v>8</v>
      </c>
      <c r="B26" s="115" t="s">
        <v>59</v>
      </c>
    </row>
    <row r="27" spans="1:2" ht="15" customHeight="1" x14ac:dyDescent="0.25">
      <c r="A27" s="193"/>
      <c r="B27" s="116"/>
    </row>
    <row r="28" spans="1:2" ht="15" customHeight="1" x14ac:dyDescent="0.25">
      <c r="A28" s="192">
        <v>9</v>
      </c>
      <c r="B28" s="115" t="s">
        <v>60</v>
      </c>
    </row>
    <row r="29" spans="1:2" ht="15" customHeight="1" x14ac:dyDescent="0.25">
      <c r="A29" s="193"/>
      <c r="B29" s="116"/>
    </row>
    <row r="30" spans="1:2" ht="15" customHeight="1" x14ac:dyDescent="0.25">
      <c r="A30" s="192">
        <v>10</v>
      </c>
      <c r="B30" s="115" t="s">
        <v>61</v>
      </c>
    </row>
    <row r="31" spans="1:2" ht="15" customHeight="1" x14ac:dyDescent="0.25">
      <c r="A31" s="193"/>
      <c r="B31" s="116"/>
    </row>
    <row r="32" spans="1:2" ht="15" customHeight="1" x14ac:dyDescent="0.25">
      <c r="A32" s="193">
        <v>11</v>
      </c>
      <c r="B32" s="194" t="s">
        <v>62</v>
      </c>
    </row>
    <row r="33" spans="1:2" ht="15" customHeight="1" x14ac:dyDescent="0.25">
      <c r="A33" s="193"/>
      <c r="B33" s="116"/>
    </row>
    <row r="34" spans="1:2" ht="15" customHeight="1" x14ac:dyDescent="0.25">
      <c r="A34" s="192">
        <v>12</v>
      </c>
      <c r="B34" s="115" t="s">
        <v>63</v>
      </c>
    </row>
    <row r="35" spans="1:2" ht="15" customHeight="1" x14ac:dyDescent="0.25">
      <c r="A35" s="193"/>
      <c r="B35" s="116"/>
    </row>
    <row r="36" spans="1:2" ht="15" customHeight="1" x14ac:dyDescent="0.25">
      <c r="A36" s="192">
        <v>13</v>
      </c>
      <c r="B36" s="115" t="s">
        <v>64</v>
      </c>
    </row>
    <row r="37" spans="1:2" ht="15" customHeight="1" x14ac:dyDescent="0.25">
      <c r="A37" s="193"/>
      <c r="B37" s="116"/>
    </row>
    <row r="38" spans="1:2" ht="15" customHeight="1" x14ac:dyDescent="0.25">
      <c r="A38" s="192">
        <v>14</v>
      </c>
      <c r="B38" s="115" t="s">
        <v>65</v>
      </c>
    </row>
    <row r="39" spans="1:2" ht="15" customHeight="1" x14ac:dyDescent="0.25">
      <c r="A39" s="193"/>
      <c r="B39" s="116"/>
    </row>
    <row r="40" spans="1:2" ht="15" customHeight="1" x14ac:dyDescent="0.25">
      <c r="A40" s="192">
        <v>15</v>
      </c>
      <c r="B40" s="115" t="s">
        <v>66</v>
      </c>
    </row>
    <row r="41" spans="1:2" ht="15" customHeight="1" x14ac:dyDescent="0.25">
      <c r="A41" s="193"/>
      <c r="B41" s="116"/>
    </row>
    <row r="42" spans="1:2" ht="15" customHeight="1" x14ac:dyDescent="0.25">
      <c r="A42" s="192">
        <v>16</v>
      </c>
      <c r="B42" s="115" t="s">
        <v>67</v>
      </c>
    </row>
    <row r="43" spans="1:2" ht="15" customHeight="1" x14ac:dyDescent="0.25">
      <c r="A43" s="193"/>
      <c r="B43" s="116"/>
    </row>
    <row r="44" spans="1:2" ht="15" customHeight="1" x14ac:dyDescent="0.25">
      <c r="A44" s="192">
        <v>17</v>
      </c>
      <c r="B44" s="115" t="s">
        <v>68</v>
      </c>
    </row>
    <row r="45" spans="1:2" ht="15" customHeight="1" x14ac:dyDescent="0.25">
      <c r="A45" s="193"/>
      <c r="B45" s="116"/>
    </row>
    <row r="46" spans="1:2" ht="15" customHeight="1" x14ac:dyDescent="0.25">
      <c r="A46" s="192">
        <v>18</v>
      </c>
      <c r="B46" s="115" t="s">
        <v>69</v>
      </c>
    </row>
    <row r="47" spans="1:2" ht="15" customHeight="1" x14ac:dyDescent="0.25">
      <c r="A47" s="193"/>
      <c r="B47" s="116"/>
    </row>
    <row r="48" spans="1:2" ht="15" customHeight="1" x14ac:dyDescent="0.25">
      <c r="A48" s="192">
        <v>19</v>
      </c>
      <c r="B48" s="115" t="s">
        <v>70</v>
      </c>
    </row>
    <row r="49" spans="1:2" ht="15" customHeight="1" x14ac:dyDescent="0.25">
      <c r="A49" s="193"/>
      <c r="B49" s="116"/>
    </row>
    <row r="50" spans="1:2" ht="15" customHeight="1" x14ac:dyDescent="0.25">
      <c r="A50" s="192">
        <v>20</v>
      </c>
      <c r="B50" s="115" t="s">
        <v>71</v>
      </c>
    </row>
    <row r="51" spans="1:2" ht="15.75" customHeight="1" thickBot="1" x14ac:dyDescent="0.3">
      <c r="A51" s="193"/>
      <c r="B51" s="116"/>
    </row>
    <row r="52" spans="1:2" ht="15.75" customHeight="1" x14ac:dyDescent="0.25">
      <c r="A52" s="120" t="s">
        <v>72</v>
      </c>
      <c r="B52" s="121"/>
    </row>
    <row r="53" spans="1:2" ht="16.5" customHeight="1" thickBot="1" x14ac:dyDescent="0.3">
      <c r="A53" s="106" t="s">
        <v>73</v>
      </c>
      <c r="B53" s="107"/>
    </row>
  </sheetData>
  <mergeCells count="44">
    <mergeCell ref="A6:A10"/>
    <mergeCell ref="B6:B10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B52"/>
    <mergeCell ref="A53:B53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14"/>
  <sheetViews>
    <sheetView tabSelected="1" view="pageBreakPreview" zoomScale="70" zoomScaleNormal="100" zoomScaleSheetLayoutView="70" workbookViewId="0">
      <selection activeCell="J5" sqref="J5:J7"/>
    </sheetView>
  </sheetViews>
  <sheetFormatPr defaultColWidth="9.140625" defaultRowHeight="15" x14ac:dyDescent="0.25"/>
  <cols>
    <col min="1" max="1" width="3.7109375" customWidth="1"/>
    <col min="2" max="2" width="24.85546875" customWidth="1"/>
    <col min="3" max="3" width="25.140625" customWidth="1"/>
    <col min="4" max="4" width="9.7109375" customWidth="1"/>
    <col min="5" max="5" width="12.28515625" customWidth="1"/>
    <col min="7" max="7" width="12.28515625" customWidth="1"/>
    <col min="9" max="9" width="16.42578125" customWidth="1"/>
    <col min="10" max="10" width="17.85546875" customWidth="1"/>
    <col min="11" max="11" width="24.140625" customWidth="1"/>
    <col min="12" max="12" width="23.42578125" customWidth="1"/>
    <col min="20" max="80" width="9.140625" style="94"/>
  </cols>
  <sheetData>
    <row r="1" spans="1:80" ht="60" customHeight="1" x14ac:dyDescent="0.25">
      <c r="G1" s="102"/>
      <c r="H1" s="102"/>
      <c r="I1" s="102"/>
      <c r="J1" s="199" t="s">
        <v>91</v>
      </c>
      <c r="K1" s="199"/>
      <c r="L1" s="102"/>
    </row>
    <row r="2" spans="1:80" ht="30.75" customHeight="1" x14ac:dyDescent="0.25"/>
    <row r="3" spans="1:80" ht="51.6" customHeight="1" x14ac:dyDescent="0.25">
      <c r="A3" s="202" t="s">
        <v>90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</row>
    <row r="4" spans="1:80" ht="56.25" customHeight="1" x14ac:dyDescent="0.25">
      <c r="A4" s="201" t="s">
        <v>7</v>
      </c>
      <c r="B4" s="201" t="s">
        <v>78</v>
      </c>
      <c r="C4" s="201" t="s">
        <v>79</v>
      </c>
      <c r="D4" s="201"/>
      <c r="E4" s="201"/>
      <c r="F4" s="201"/>
      <c r="G4" s="201"/>
      <c r="H4" s="201"/>
      <c r="I4" s="201" t="s">
        <v>80</v>
      </c>
      <c r="J4" s="201"/>
      <c r="K4" s="201"/>
      <c r="L4" s="201"/>
    </row>
    <row r="5" spans="1:80" ht="42.75" customHeight="1" x14ac:dyDescent="0.25">
      <c r="A5" s="201"/>
      <c r="B5" s="201"/>
      <c r="C5" s="201" t="s">
        <v>81</v>
      </c>
      <c r="D5" s="201"/>
      <c r="E5" s="201" t="s">
        <v>82</v>
      </c>
      <c r="F5" s="201"/>
      <c r="G5" s="201" t="s">
        <v>83</v>
      </c>
      <c r="H5" s="201"/>
      <c r="I5" s="201" t="s">
        <v>49</v>
      </c>
      <c r="J5" s="201" t="s">
        <v>84</v>
      </c>
      <c r="K5" s="201" t="s">
        <v>30</v>
      </c>
      <c r="L5" s="201" t="s">
        <v>31</v>
      </c>
    </row>
    <row r="6" spans="1:80" ht="32.25" customHeight="1" x14ac:dyDescent="0.25">
      <c r="A6" s="201"/>
      <c r="B6" s="201"/>
      <c r="C6" s="201"/>
      <c r="D6" s="201"/>
      <c r="E6" s="96" t="s">
        <v>85</v>
      </c>
      <c r="F6" s="96" t="s">
        <v>86</v>
      </c>
      <c r="G6" s="96" t="s">
        <v>87</v>
      </c>
      <c r="H6" s="96" t="s">
        <v>86</v>
      </c>
      <c r="I6" s="201"/>
      <c r="J6" s="201"/>
      <c r="K6" s="201"/>
      <c r="L6" s="201"/>
      <c r="M6" s="94"/>
      <c r="N6" s="94"/>
      <c r="O6" s="94"/>
      <c r="P6" s="94"/>
      <c r="Q6" s="94"/>
      <c r="R6" s="94"/>
      <c r="S6" s="94"/>
    </row>
    <row r="7" spans="1:80" ht="18.75" x14ac:dyDescent="0.25">
      <c r="A7" s="201"/>
      <c r="B7" s="201"/>
      <c r="C7" s="201" t="s">
        <v>88</v>
      </c>
      <c r="D7" s="201"/>
      <c r="E7" s="96" t="s">
        <v>89</v>
      </c>
      <c r="F7" s="96" t="s">
        <v>89</v>
      </c>
      <c r="G7" s="96" t="s">
        <v>88</v>
      </c>
      <c r="H7" s="96" t="s">
        <v>88</v>
      </c>
      <c r="I7" s="201"/>
      <c r="J7" s="201"/>
      <c r="K7" s="201"/>
      <c r="L7" s="201"/>
      <c r="M7" s="94"/>
      <c r="N7" s="94"/>
      <c r="O7" s="94"/>
      <c r="P7" s="94"/>
      <c r="Q7" s="94"/>
      <c r="R7" s="94"/>
      <c r="S7" s="94"/>
    </row>
    <row r="8" spans="1:80" ht="18.75" x14ac:dyDescent="0.25">
      <c r="A8" s="96">
        <v>1</v>
      </c>
      <c r="B8" s="96">
        <v>2</v>
      </c>
      <c r="C8" s="201">
        <v>3</v>
      </c>
      <c r="D8" s="201"/>
      <c r="E8" s="96">
        <v>4</v>
      </c>
      <c r="F8" s="96">
        <v>5</v>
      </c>
      <c r="G8" s="96">
        <v>6</v>
      </c>
      <c r="H8" s="96">
        <v>7</v>
      </c>
      <c r="I8" s="96">
        <v>8</v>
      </c>
      <c r="J8" s="96">
        <v>9</v>
      </c>
      <c r="K8" s="96">
        <v>10</v>
      </c>
      <c r="L8" s="96">
        <v>11</v>
      </c>
      <c r="M8" s="200"/>
      <c r="N8" s="200"/>
      <c r="O8" s="200"/>
      <c r="P8" s="200"/>
      <c r="Q8" s="200"/>
      <c r="R8" s="200"/>
      <c r="S8" s="200"/>
    </row>
    <row r="9" spans="1:80" s="93" customFormat="1" ht="29.25" customHeight="1" x14ac:dyDescent="0.25">
      <c r="A9" s="201">
        <v>11</v>
      </c>
      <c r="B9" s="201" t="s">
        <v>69</v>
      </c>
      <c r="C9" s="96">
        <v>0</v>
      </c>
      <c r="D9" s="96"/>
      <c r="E9" s="96">
        <v>0</v>
      </c>
      <c r="F9" s="96">
        <v>0</v>
      </c>
      <c r="G9" s="96">
        <v>0</v>
      </c>
      <c r="H9" s="96">
        <v>0</v>
      </c>
      <c r="I9" s="97">
        <v>0</v>
      </c>
      <c r="J9" s="97">
        <v>0</v>
      </c>
      <c r="K9" s="97">
        <v>0</v>
      </c>
      <c r="L9" s="97">
        <v>0</v>
      </c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</row>
    <row r="10" spans="1:80" s="93" customFormat="1" ht="29.25" customHeight="1" x14ac:dyDescent="0.25">
      <c r="A10" s="201"/>
      <c r="B10" s="201"/>
      <c r="C10" s="103">
        <v>0</v>
      </c>
      <c r="D10" s="104"/>
      <c r="E10" s="104">
        <v>0</v>
      </c>
      <c r="F10" s="104">
        <v>0</v>
      </c>
      <c r="G10" s="104">
        <v>0</v>
      </c>
      <c r="H10" s="104">
        <v>0</v>
      </c>
      <c r="I10" s="103">
        <v>0</v>
      </c>
      <c r="J10" s="104">
        <v>0</v>
      </c>
      <c r="K10" s="105">
        <v>0</v>
      </c>
      <c r="L10" s="103">
        <v>0</v>
      </c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</row>
    <row r="11" spans="1:80" s="93" customFormat="1" ht="29.25" customHeight="1" x14ac:dyDescent="0.25">
      <c r="A11" s="100"/>
      <c r="B11" s="100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</row>
    <row r="12" spans="1:80" s="94" customFormat="1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80" ht="18.75" x14ac:dyDescent="0.3">
      <c r="B13" s="98"/>
      <c r="C13" s="98"/>
      <c r="D13" s="98"/>
      <c r="E13" s="98"/>
      <c r="F13" s="98"/>
      <c r="G13" s="98"/>
      <c r="H13" s="98"/>
      <c r="I13" s="98"/>
      <c r="J13" s="99"/>
      <c r="K13" s="99"/>
      <c r="L13" s="99"/>
      <c r="M13" s="99"/>
    </row>
    <row r="14" spans="1:80" x14ac:dyDescent="0.25">
      <c r="I14" s="95"/>
    </row>
  </sheetData>
  <mergeCells count="18">
    <mergeCell ref="A9:A10"/>
    <mergeCell ref="B9:B10"/>
    <mergeCell ref="L5:L7"/>
    <mergeCell ref="C7:D7"/>
    <mergeCell ref="C8:D8"/>
    <mergeCell ref="J1:K1"/>
    <mergeCell ref="M8:S8"/>
    <mergeCell ref="A4:A7"/>
    <mergeCell ref="B4:B7"/>
    <mergeCell ref="C4:H4"/>
    <mergeCell ref="I4:L4"/>
    <mergeCell ref="C5:D6"/>
    <mergeCell ref="E5:F5"/>
    <mergeCell ref="G5:H5"/>
    <mergeCell ref="I5:I7"/>
    <mergeCell ref="J5:J7"/>
    <mergeCell ref="K5:K7"/>
    <mergeCell ref="A3:L3"/>
  </mergeCells>
  <pageMargins left="0.7" right="0.7" top="0.75" bottom="0.75" header="0.3" footer="0.3"/>
  <pageSetup paperSize="9" scale="69" fitToWidth="0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АРЭГ (2)</vt:lpstr>
      <vt:lpstr>'АРЭГ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Логарева Ольга Павловна</dc:creator>
  <cp:lastModifiedBy>UKS04</cp:lastModifiedBy>
  <cp:lastPrinted>2023-05-15T08:23:25Z</cp:lastPrinted>
  <dcterms:created xsi:type="dcterms:W3CDTF">2016-05-20T06:58:36Z</dcterms:created>
  <dcterms:modified xsi:type="dcterms:W3CDTF">2025-05-20T03:38:17Z</dcterms:modified>
</cp:coreProperties>
</file>